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005" yWindow="300" windowWidth="10155" windowHeight="6075" activeTab="1"/>
  </bookViews>
  <sheets>
    <sheet name="Notes" sheetId="1" r:id="rId1"/>
    <sheet name="Input Data" sheetId="2" r:id="rId2"/>
    <sheet name="Worked Example" sheetId="13" r:id="rId3"/>
    <sheet name="Tax Invoice Engineering Project" sheetId="4" r:id="rId4"/>
    <sheet name="Tax Invoice Multidiscpl Project" sheetId="12" r:id="rId5"/>
    <sheet name="Scales" sheetId="5" state="hidden" r:id="rId6"/>
    <sheet name="Previous Claims" sheetId="6" r:id="rId7"/>
    <sheet name="Summary A3" sheetId="15" r:id="rId8"/>
    <sheet name="Time Based" sheetId="9" r:id="rId9"/>
    <sheet name="Trip Sheet" sheetId="14" r:id="rId10"/>
    <sheet name="Subsistance &amp; Travelling" sheetId="7" r:id="rId11"/>
    <sheet name="Typing, Duplicating, &amp; Printing" sheetId="8" r:id="rId12"/>
    <sheet name="Site staff &amp; Other" sheetId="10" r:id="rId13"/>
    <sheet name="Non Taxable" sheetId="11" r:id="rId14"/>
  </sheets>
  <definedNames>
    <definedName name="_xlnm.Print_Area" localSheetId="1">'Input Data'!$A$1:$H$53</definedName>
    <definedName name="_xlnm.Print_Area" localSheetId="0">Notes!$A$1:$B$63</definedName>
    <definedName name="_xlnm.Print_Area" localSheetId="12">'Site staff &amp; Other'!$A$1:$I$65</definedName>
    <definedName name="_xlnm.Print_Area" localSheetId="10">'Subsistance &amp; Travelling'!$A$1:$O$61</definedName>
    <definedName name="_xlnm.Print_Area" localSheetId="3">'Tax Invoice Engineering Project'!$A$1:$O$125</definedName>
    <definedName name="_xlnm.Print_Area" localSheetId="4">'Tax Invoice Multidiscpl Project'!$A$1:$O$104</definedName>
    <definedName name="_xlnm.Print_Area" localSheetId="8">'Time Based'!$A$1:$I$54</definedName>
    <definedName name="_xlnm.Print_Area" localSheetId="11">'Typing, Duplicating, &amp; Printing'!$A$1:$J$64</definedName>
    <definedName name="_xlnm.Print_Area" localSheetId="2">'Worked Example'!$A$1:$H$53</definedName>
    <definedName name="_xlnm.Print_Titles" localSheetId="3">'Tax Invoice Engineering Project'!$1:$5</definedName>
    <definedName name="_xlnm.Print_Titles" localSheetId="4">'Tax Invoice Multidiscpl Project'!$1:$5</definedName>
    <definedName name="SCALE_2012EB">Scales!$B$13:$E$20</definedName>
    <definedName name="SCALE_2012EE">Scales!$B$3:$E$10</definedName>
  </definedNames>
  <calcPr calcId="145621"/>
</workbook>
</file>

<file path=xl/calcChain.xml><?xml version="1.0" encoding="utf-8"?>
<calcChain xmlns="http://schemas.openxmlformats.org/spreadsheetml/2006/main">
  <c r="M16" i="7" l="1"/>
  <c r="M15" i="7"/>
  <c r="M14" i="7"/>
  <c r="M13" i="7"/>
  <c r="M12" i="7"/>
  <c r="M11" i="7"/>
  <c r="M10" i="7"/>
  <c r="M9" i="7"/>
  <c r="M8" i="7"/>
  <c r="M7" i="7"/>
  <c r="M32" i="7"/>
  <c r="M31" i="7"/>
  <c r="M30" i="7"/>
  <c r="M29" i="7"/>
  <c r="M28" i="7"/>
  <c r="M27" i="7"/>
  <c r="M26" i="7"/>
  <c r="M25" i="7"/>
  <c r="M24" i="7"/>
  <c r="M23" i="7"/>
  <c r="O52" i="7"/>
  <c r="O51" i="7"/>
  <c r="O50" i="7"/>
  <c r="O49" i="7"/>
  <c r="O48" i="7"/>
  <c r="O47" i="7"/>
  <c r="O46" i="7"/>
  <c r="O45" i="7"/>
  <c r="O44" i="7"/>
  <c r="O43" i="7"/>
  <c r="G5" i="14" l="1"/>
  <c r="L20" i="15" l="1"/>
  <c r="L88" i="4" l="1"/>
  <c r="M74" i="12"/>
  <c r="M76" i="12"/>
  <c r="J19" i="11" l="1"/>
  <c r="J21" i="11" l="1"/>
  <c r="O58" i="12" s="1"/>
  <c r="M77" i="12" s="1"/>
  <c r="H49" i="15"/>
  <c r="J49" i="15" s="1"/>
  <c r="G3" i="10"/>
  <c r="C3" i="8"/>
  <c r="F3" i="8"/>
  <c r="O91" i="4"/>
  <c r="J15" i="15"/>
  <c r="E15" i="15"/>
  <c r="J13" i="15"/>
  <c r="L12" i="15"/>
  <c r="E13" i="15"/>
  <c r="E12" i="15"/>
  <c r="E11" i="15"/>
  <c r="F9" i="15"/>
  <c r="E6" i="15"/>
  <c r="L4" i="15"/>
  <c r="G4" i="15"/>
  <c r="D3" i="7"/>
  <c r="E3" i="9"/>
  <c r="H3" i="9"/>
  <c r="J3" i="7"/>
  <c r="C3" i="9"/>
  <c r="D3" i="10"/>
  <c r="I63" i="10"/>
  <c r="I62" i="10"/>
  <c r="I61" i="10"/>
  <c r="I60" i="10"/>
  <c r="I59" i="10"/>
  <c r="I58" i="10"/>
  <c r="I57" i="10"/>
  <c r="I56" i="10"/>
  <c r="I55" i="10"/>
  <c r="I54" i="10"/>
  <c r="I50" i="10"/>
  <c r="I67" i="10" s="1"/>
  <c r="I76" i="12" s="1"/>
  <c r="I46" i="10"/>
  <c r="I45" i="10"/>
  <c r="I44" i="10"/>
  <c r="I43" i="10"/>
  <c r="I42" i="10"/>
  <c r="I41" i="10"/>
  <c r="I40" i="10"/>
  <c r="I39" i="10"/>
  <c r="I38" i="10"/>
  <c r="I37" i="10"/>
  <c r="I31" i="10"/>
  <c r="I30" i="10"/>
  <c r="I29" i="10"/>
  <c r="I28" i="10"/>
  <c r="I27" i="10"/>
  <c r="I26" i="10"/>
  <c r="I25" i="10"/>
  <c r="I24" i="10"/>
  <c r="I23" i="10"/>
  <c r="I22" i="10"/>
  <c r="I16" i="10"/>
  <c r="I15" i="10"/>
  <c r="I14" i="10"/>
  <c r="I13" i="10"/>
  <c r="I12" i="10"/>
  <c r="I11" i="10"/>
  <c r="I10" i="10"/>
  <c r="I9" i="10"/>
  <c r="I8" i="10"/>
  <c r="I7" i="10"/>
  <c r="I65" i="9"/>
  <c r="I64" i="9"/>
  <c r="I63" i="9"/>
  <c r="I62" i="9"/>
  <c r="I61" i="9"/>
  <c r="I60" i="9"/>
  <c r="I59" i="9"/>
  <c r="I58" i="9"/>
  <c r="I57" i="9"/>
  <c r="I56" i="9"/>
  <c r="I51" i="9"/>
  <c r="I50" i="9"/>
  <c r="I49" i="9"/>
  <c r="I48" i="9"/>
  <c r="I47" i="9"/>
  <c r="I46" i="9"/>
  <c r="I45" i="9"/>
  <c r="I44" i="9"/>
  <c r="I43" i="9"/>
  <c r="I42" i="9"/>
  <c r="I36" i="9"/>
  <c r="I35" i="9"/>
  <c r="I34" i="9"/>
  <c r="I33" i="9"/>
  <c r="I32" i="9"/>
  <c r="I31" i="9"/>
  <c r="I30" i="9"/>
  <c r="I29" i="9"/>
  <c r="I28" i="9"/>
  <c r="I27" i="9"/>
  <c r="I21" i="9"/>
  <c r="I20" i="9"/>
  <c r="I19" i="9"/>
  <c r="I18" i="9"/>
  <c r="I17" i="9"/>
  <c r="I16" i="9"/>
  <c r="I15" i="9"/>
  <c r="I14" i="9"/>
  <c r="I13" i="9"/>
  <c r="I12" i="9"/>
  <c r="O83" i="7"/>
  <c r="O68" i="7"/>
  <c r="O36" i="7"/>
  <c r="L32" i="7"/>
  <c r="L31" i="7"/>
  <c r="L30" i="7"/>
  <c r="L29" i="7"/>
  <c r="L28" i="7"/>
  <c r="L27" i="7"/>
  <c r="L26" i="7"/>
  <c r="L25" i="7"/>
  <c r="L24" i="7"/>
  <c r="L23" i="7"/>
  <c r="J64" i="8"/>
  <c r="H88" i="4" s="1"/>
  <c r="J59" i="8"/>
  <c r="J58" i="8"/>
  <c r="J57" i="8"/>
  <c r="J56" i="8"/>
  <c r="J55" i="8"/>
  <c r="J54" i="8"/>
  <c r="J53" i="8"/>
  <c r="J52" i="8"/>
  <c r="J51" i="8"/>
  <c r="J50" i="8"/>
  <c r="J60" i="8" s="1"/>
  <c r="J45" i="8"/>
  <c r="J44" i="8"/>
  <c r="J43" i="8"/>
  <c r="J42" i="8"/>
  <c r="J41" i="8"/>
  <c r="J40" i="8"/>
  <c r="J39" i="8"/>
  <c r="J38" i="8"/>
  <c r="J37" i="8"/>
  <c r="J36" i="8"/>
  <c r="J31" i="8"/>
  <c r="J30" i="8"/>
  <c r="J29" i="8"/>
  <c r="J28" i="8"/>
  <c r="J27" i="8"/>
  <c r="J26" i="8"/>
  <c r="J25" i="8"/>
  <c r="J24" i="8"/>
  <c r="J23" i="8"/>
  <c r="J22" i="8"/>
  <c r="J17" i="8"/>
  <c r="J16" i="8"/>
  <c r="J15" i="8"/>
  <c r="J14" i="8"/>
  <c r="J13" i="8"/>
  <c r="J12" i="8"/>
  <c r="J11" i="8"/>
  <c r="J10" i="8"/>
  <c r="J9" i="8"/>
  <c r="J8" i="8"/>
  <c r="I88" i="4" l="1"/>
  <c r="H76" i="12"/>
  <c r="J46" i="8"/>
  <c r="O53" i="7"/>
  <c r="O87" i="7" s="1"/>
  <c r="I32" i="10"/>
  <c r="I47" i="10"/>
  <c r="I17" i="10"/>
  <c r="I64" i="10"/>
  <c r="H45" i="15" s="1"/>
  <c r="J45" i="15" s="1"/>
  <c r="I66" i="9"/>
  <c r="H26" i="15" s="1"/>
  <c r="J26" i="15" s="1"/>
  <c r="I52" i="9"/>
  <c r="H25" i="15" s="1"/>
  <c r="J25" i="15" s="1"/>
  <c r="I37" i="9"/>
  <c r="I22" i="9"/>
  <c r="J32" i="8"/>
  <c r="J18" i="8"/>
  <c r="A1" i="13"/>
  <c r="O60" i="14"/>
  <c r="N44" i="14"/>
  <c r="H43" i="14"/>
  <c r="O43" i="14" s="1"/>
  <c r="O45" i="14" s="1"/>
  <c r="J36" i="14"/>
  <c r="M36" i="14" s="1"/>
  <c r="O36" i="14" s="1"/>
  <c r="O37" i="14" s="1"/>
  <c r="F36" i="14"/>
  <c r="F37" i="14" s="1"/>
  <c r="F35" i="14"/>
  <c r="F34" i="14"/>
  <c r="F33" i="14"/>
  <c r="O16" i="14"/>
  <c r="J28" i="15"/>
  <c r="I49" i="10" l="1"/>
  <c r="H43" i="15" s="1"/>
  <c r="I66" i="10"/>
  <c r="E88" i="4"/>
  <c r="E76" i="12"/>
  <c r="J63" i="8"/>
  <c r="O61" i="14"/>
  <c r="H36" i="15" l="1"/>
  <c r="J36" i="15" s="1"/>
  <c r="J43" i="15"/>
  <c r="J47" i="15" s="1"/>
  <c r="L47" i="15" s="1"/>
  <c r="H47" i="15"/>
  <c r="E10" i="2"/>
  <c r="A40" i="1"/>
  <c r="A42" i="1" s="1"/>
  <c r="A44" i="1" s="1"/>
  <c r="A46" i="1" s="1"/>
  <c r="A48" i="1" s="1"/>
  <c r="A50" i="1" s="1"/>
  <c r="A52" i="1" s="1"/>
  <c r="A54" i="1" s="1"/>
  <c r="A56" i="1" s="1"/>
  <c r="A58" i="1" s="1"/>
  <c r="A60" i="1" s="1"/>
  <c r="A62" i="1" s="1"/>
  <c r="E4" i="2"/>
  <c r="E4" i="13" s="1"/>
  <c r="A22" i="13"/>
  <c r="F32" i="2"/>
  <c r="E21" i="2"/>
  <c r="C3" i="5"/>
  <c r="H39" i="2" s="1"/>
  <c r="D21" i="13"/>
  <c r="G52" i="2"/>
  <c r="K2" i="6"/>
  <c r="D7" i="6" s="1"/>
  <c r="F7" i="6" s="1"/>
  <c r="K12" i="6"/>
  <c r="M12" i="6" s="1"/>
  <c r="M53" i="4"/>
  <c r="G11" i="13"/>
  <c r="E11" i="13"/>
  <c r="M42" i="12"/>
  <c r="K24" i="12"/>
  <c r="G11" i="2"/>
  <c r="E11" i="2"/>
  <c r="H5" i="13"/>
  <c r="E18" i="2"/>
  <c r="C16" i="4" s="1"/>
  <c r="E56" i="4"/>
  <c r="C13" i="5"/>
  <c r="E19" i="2"/>
  <c r="D16" i="12"/>
  <c r="D17" i="12"/>
  <c r="D18" i="12"/>
  <c r="D19" i="12"/>
  <c r="N79" i="12"/>
  <c r="I121" i="4"/>
  <c r="I122" i="4"/>
  <c r="C56" i="4"/>
  <c r="J8" i="4"/>
  <c r="C42" i="6"/>
  <c r="J5" i="6" s="1"/>
  <c r="J42" i="6" s="1"/>
  <c r="F5" i="4"/>
  <c r="F5" i="12"/>
  <c r="A24" i="12"/>
  <c r="H36" i="2"/>
  <c r="L20" i="4"/>
  <c r="L19" i="4"/>
  <c r="C19" i="4"/>
  <c r="L18" i="4"/>
  <c r="C18" i="4"/>
  <c r="L17" i="4"/>
  <c r="C17" i="4"/>
  <c r="O15" i="4"/>
  <c r="B15" i="4"/>
  <c r="O14" i="4"/>
  <c r="B14" i="4"/>
  <c r="N13" i="4"/>
  <c r="B13" i="4"/>
  <c r="L11" i="4"/>
  <c r="I11" i="4"/>
  <c r="E11" i="4"/>
  <c r="B11" i="4"/>
  <c r="O10" i="4"/>
  <c r="M10" i="4"/>
  <c r="I10" i="4"/>
  <c r="B10" i="4"/>
  <c r="O9" i="4"/>
  <c r="I9" i="4"/>
  <c r="O8" i="4"/>
  <c r="B8" i="4"/>
  <c r="J7" i="4"/>
  <c r="B7" i="4"/>
  <c r="B6" i="4"/>
  <c r="N4" i="4"/>
  <c r="J4" i="4"/>
  <c r="B5" i="4"/>
  <c r="M5" i="4"/>
  <c r="O2" i="4"/>
  <c r="O3" i="12"/>
  <c r="O15" i="12"/>
  <c r="O14" i="12"/>
  <c r="N18" i="12"/>
  <c r="B15" i="12"/>
  <c r="B10" i="12"/>
  <c r="H8" i="12"/>
  <c r="J7" i="12"/>
  <c r="O9" i="12"/>
  <c r="B9" i="12"/>
  <c r="L20" i="12"/>
  <c r="N17" i="12"/>
  <c r="E46" i="2"/>
  <c r="N13" i="12"/>
  <c r="O10" i="12"/>
  <c r="I10" i="12"/>
  <c r="B11" i="12"/>
  <c r="B5" i="12"/>
  <c r="B13" i="12"/>
  <c r="N19" i="12"/>
  <c r="D3" i="11"/>
  <c r="H3" i="11"/>
  <c r="D2" i="6"/>
  <c r="F2" i="6"/>
  <c r="A6" i="6"/>
  <c r="A7" i="6" s="1"/>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H7" i="6"/>
  <c r="H8" i="6" s="1"/>
  <c r="H9" i="6" s="1"/>
  <c r="H10" i="6" s="1"/>
  <c r="H11" i="6" s="1"/>
  <c r="H12" i="6" s="1"/>
  <c r="H13" i="6" s="1"/>
  <c r="H14" i="6" s="1"/>
  <c r="H15" i="6" s="1"/>
  <c r="H16" i="6" s="1"/>
  <c r="H17" i="6" s="1"/>
  <c r="H18" i="6" s="1"/>
  <c r="H19" i="6" s="1"/>
  <c r="H20" i="6" s="1"/>
  <c r="H21" i="6" s="1"/>
  <c r="H22" i="6" s="1"/>
  <c r="H23" i="6" s="1"/>
  <c r="H24" i="6" s="1"/>
  <c r="H25" i="6" s="1"/>
  <c r="H26" i="6" s="1"/>
  <c r="H27" i="6" s="1"/>
  <c r="H28" i="6" s="1"/>
  <c r="H29" i="6" s="1"/>
  <c r="H30" i="6" s="1"/>
  <c r="H31" i="6" s="1"/>
  <c r="H32" i="6" s="1"/>
  <c r="H33" i="6" s="1"/>
  <c r="H34" i="6" s="1"/>
  <c r="H35" i="6" s="1"/>
  <c r="H36" i="6" s="1"/>
  <c r="H37" i="6" s="1"/>
  <c r="H38" i="6" s="1"/>
  <c r="H39" i="6" s="1"/>
  <c r="H40" i="6" s="1"/>
  <c r="H41" i="6" s="1"/>
  <c r="E42" i="6"/>
  <c r="L5" i="6" s="1"/>
  <c r="L42" i="6" s="1"/>
  <c r="C21" i="4"/>
  <c r="B6" i="12"/>
  <c r="B7" i="12"/>
  <c r="B8" i="12"/>
  <c r="M5" i="12"/>
  <c r="M8" i="12"/>
  <c r="M10" i="12"/>
  <c r="B14" i="12"/>
  <c r="I4" i="12"/>
  <c r="B21" i="12"/>
  <c r="N4" i="12"/>
  <c r="L11" i="12"/>
  <c r="E11" i="12"/>
  <c r="I11" i="12"/>
  <c r="F46" i="2"/>
  <c r="G46" i="2"/>
  <c r="A11" i="1"/>
  <c r="A13" i="1" s="1"/>
  <c r="A15" i="1" s="1"/>
  <c r="A17" i="1" s="1"/>
  <c r="A19" i="1" s="1"/>
  <c r="A21" i="1" s="1"/>
  <c r="A23" i="1" s="1"/>
  <c r="A25" i="1" s="1"/>
  <c r="A27" i="1" s="1"/>
  <c r="A29" i="1" s="1"/>
  <c r="A31" i="1" s="1"/>
  <c r="A33" i="1" s="1"/>
  <c r="H45" i="2" l="1"/>
  <c r="E92" i="12" s="1"/>
  <c r="C33" i="2"/>
  <c r="I117" i="4"/>
  <c r="G108" i="4"/>
  <c r="H43" i="2"/>
  <c r="G86" i="12" s="1"/>
  <c r="O70" i="4"/>
  <c r="L89" i="4" s="1"/>
  <c r="L90" i="4" s="1"/>
  <c r="H23" i="15"/>
  <c r="H39" i="13"/>
  <c r="M78" i="12"/>
  <c r="L49" i="15"/>
  <c r="L55" i="15" s="1"/>
  <c r="A21" i="12"/>
  <c r="K36" i="6"/>
  <c r="M36" i="6" s="1"/>
  <c r="D38" i="6"/>
  <c r="F38" i="6" s="1"/>
  <c r="K28" i="6"/>
  <c r="M28" i="6" s="1"/>
  <c r="D28" i="6"/>
  <c r="F28" i="6" s="1"/>
  <c r="K20" i="6"/>
  <c r="M20" i="6" s="1"/>
  <c r="D17" i="6"/>
  <c r="F17" i="6" s="1"/>
  <c r="O59" i="4"/>
  <c r="N89" i="4" s="1"/>
  <c r="N90" i="4" s="1"/>
  <c r="O47" i="12"/>
  <c r="L77" i="12" s="1"/>
  <c r="L78" i="12" s="1"/>
  <c r="I108" i="4"/>
  <c r="I68" i="9"/>
  <c r="O52" i="12"/>
  <c r="O51" i="12"/>
  <c r="I69" i="9"/>
  <c r="O50" i="12"/>
  <c r="H44" i="2"/>
  <c r="G89" i="12" s="1"/>
  <c r="I97" i="12"/>
  <c r="K2" i="4"/>
  <c r="I109" i="4"/>
  <c r="K2" i="12"/>
  <c r="O67" i="4"/>
  <c r="O63" i="4"/>
  <c r="O62" i="4"/>
  <c r="O57" i="4"/>
  <c r="O64" i="4"/>
  <c r="K122" i="4"/>
  <c r="G92" i="12"/>
  <c r="G104" i="4"/>
  <c r="K121" i="4"/>
  <c r="I100" i="12"/>
  <c r="H53" i="2"/>
  <c r="H42" i="2"/>
  <c r="K95" i="4" s="1"/>
  <c r="G109" i="4"/>
  <c r="H48" i="2"/>
  <c r="G47" i="2" s="1"/>
  <c r="C32" i="2"/>
  <c r="K5" i="5"/>
  <c r="K104" i="4"/>
  <c r="K98" i="4"/>
  <c r="K101" i="4"/>
  <c r="K37" i="6"/>
  <c r="M37" i="6" s="1"/>
  <c r="K29" i="6"/>
  <c r="M29" i="6" s="1"/>
  <c r="K21" i="6"/>
  <c r="M21" i="6" s="1"/>
  <c r="K13" i="6"/>
  <c r="M13" i="6" s="1"/>
  <c r="D41" i="6"/>
  <c r="F41" i="6" s="1"/>
  <c r="D30" i="6"/>
  <c r="F30" i="6" s="1"/>
  <c r="D20" i="6"/>
  <c r="F20" i="6" s="1"/>
  <c r="D9" i="6"/>
  <c r="F9" i="6" s="1"/>
  <c r="K41" i="6"/>
  <c r="M41" i="6" s="1"/>
  <c r="K33" i="6"/>
  <c r="M33" i="6" s="1"/>
  <c r="K25" i="6"/>
  <c r="M25" i="6" s="1"/>
  <c r="K17" i="6"/>
  <c r="M17" i="6" s="1"/>
  <c r="K9" i="6"/>
  <c r="M9" i="6" s="1"/>
  <c r="D36" i="6"/>
  <c r="F36" i="6" s="1"/>
  <c r="D25" i="6"/>
  <c r="F25" i="6" s="1"/>
  <c r="D14" i="6"/>
  <c r="F14" i="6" s="1"/>
  <c r="K40" i="6"/>
  <c r="M40" i="6" s="1"/>
  <c r="K32" i="6"/>
  <c r="M32" i="6" s="1"/>
  <c r="K24" i="6"/>
  <c r="M24" i="6" s="1"/>
  <c r="K16" i="6"/>
  <c r="M16" i="6" s="1"/>
  <c r="K8" i="6"/>
  <c r="M8" i="6" s="1"/>
  <c r="D33" i="6"/>
  <c r="F33" i="6" s="1"/>
  <c r="D22" i="6"/>
  <c r="F22" i="6" s="1"/>
  <c r="D12" i="6"/>
  <c r="F12" i="6" s="1"/>
  <c r="I5" i="5"/>
  <c r="K6" i="5"/>
  <c r="I6" i="5"/>
  <c r="H50" i="2"/>
  <c r="K114" i="4" s="1"/>
  <c r="I114" i="4"/>
  <c r="E41" i="2"/>
  <c r="H51" i="2"/>
  <c r="K117" i="4" s="1"/>
  <c r="H52" i="2"/>
  <c r="K38" i="6"/>
  <c r="M38" i="6" s="1"/>
  <c r="K35" i="6"/>
  <c r="M35" i="6" s="1"/>
  <c r="K30" i="6"/>
  <c r="M30" i="6" s="1"/>
  <c r="K27" i="6"/>
  <c r="M27" i="6" s="1"/>
  <c r="K22" i="6"/>
  <c r="M22" i="6" s="1"/>
  <c r="K19" i="6"/>
  <c r="M19" i="6" s="1"/>
  <c r="K14" i="6"/>
  <c r="M14" i="6" s="1"/>
  <c r="K11" i="6"/>
  <c r="M11" i="6" s="1"/>
  <c r="K6" i="6"/>
  <c r="M6" i="6" s="1"/>
  <c r="D37" i="6"/>
  <c r="F37" i="6" s="1"/>
  <c r="D32" i="6"/>
  <c r="F32" i="6" s="1"/>
  <c r="D26" i="6"/>
  <c r="F26" i="6" s="1"/>
  <c r="D21" i="6"/>
  <c r="F21" i="6" s="1"/>
  <c r="D16" i="6"/>
  <c r="F16" i="6" s="1"/>
  <c r="D10" i="6"/>
  <c r="F10" i="6" s="1"/>
  <c r="D5" i="6"/>
  <c r="F5" i="6" s="1"/>
  <c r="K39" i="6"/>
  <c r="M39" i="6" s="1"/>
  <c r="K34" i="6"/>
  <c r="M34" i="6" s="1"/>
  <c r="K31" i="6"/>
  <c r="M31" i="6" s="1"/>
  <c r="K26" i="6"/>
  <c r="M26" i="6" s="1"/>
  <c r="K23" i="6"/>
  <c r="M23" i="6" s="1"/>
  <c r="K18" i="6"/>
  <c r="M18" i="6" s="1"/>
  <c r="K15" i="6"/>
  <c r="M15" i="6" s="1"/>
  <c r="K10" i="6"/>
  <c r="M10" i="6" s="1"/>
  <c r="K7" i="6"/>
  <c r="M7" i="6" s="1"/>
  <c r="D40" i="6"/>
  <c r="F40" i="6" s="1"/>
  <c r="D34" i="6"/>
  <c r="F34" i="6" s="1"/>
  <c r="D29" i="6"/>
  <c r="F29" i="6" s="1"/>
  <c r="D24" i="6"/>
  <c r="F24" i="6" s="1"/>
  <c r="D18" i="6"/>
  <c r="F18" i="6" s="1"/>
  <c r="D13" i="6"/>
  <c r="F13" i="6" s="1"/>
  <c r="D8" i="6"/>
  <c r="F8" i="6" s="1"/>
  <c r="D6" i="6"/>
  <c r="F6" i="6" s="1"/>
  <c r="D39" i="6"/>
  <c r="F39" i="6" s="1"/>
  <c r="D35" i="6"/>
  <c r="F35" i="6" s="1"/>
  <c r="D31" i="6"/>
  <c r="F31" i="6" s="1"/>
  <c r="D27" i="6"/>
  <c r="F27" i="6" s="1"/>
  <c r="D23" i="6"/>
  <c r="F23" i="6" s="1"/>
  <c r="D19" i="6"/>
  <c r="F19" i="6" s="1"/>
  <c r="D15" i="6"/>
  <c r="F15" i="6" s="1"/>
  <c r="D11" i="6"/>
  <c r="F11" i="6" s="1"/>
  <c r="E104" i="4" l="1"/>
  <c r="K92" i="12"/>
  <c r="G121" i="4"/>
  <c r="K86" i="12"/>
  <c r="K83" i="12"/>
  <c r="G98" i="4"/>
  <c r="J23" i="15"/>
  <c r="I77" i="12"/>
  <c r="I78" i="12" s="1"/>
  <c r="G101" i="4"/>
  <c r="K89" i="12"/>
  <c r="H46" i="2"/>
  <c r="K90" i="12" s="1"/>
  <c r="I89" i="4"/>
  <c r="L5" i="5"/>
  <c r="L6" i="5" s="1"/>
  <c r="G56" i="4" s="1"/>
  <c r="O22" i="12"/>
  <c r="O22" i="4"/>
  <c r="K96" i="4"/>
  <c r="K102" i="4"/>
  <c r="K99" i="4"/>
  <c r="K109" i="4"/>
  <c r="O21" i="4"/>
  <c r="K23" i="4" s="1"/>
  <c r="K105" i="4"/>
  <c r="K97" i="12"/>
  <c r="G117" i="4"/>
  <c r="G100" i="12"/>
  <c r="K100" i="12"/>
  <c r="J22" i="12"/>
  <c r="J21" i="4"/>
  <c r="J21" i="12"/>
  <c r="J22" i="4"/>
  <c r="F42" i="6"/>
  <c r="D42" i="6"/>
  <c r="K5" i="6" s="1"/>
  <c r="K98" i="12" l="1"/>
  <c r="K101" i="12"/>
  <c r="K115" i="4"/>
  <c r="O21" i="12"/>
  <c r="M23" i="12" s="1"/>
  <c r="D26" i="2"/>
  <c r="D20" i="12" s="1"/>
  <c r="G122" i="4"/>
  <c r="A47" i="2"/>
  <c r="I101" i="4"/>
  <c r="I104" i="4"/>
  <c r="I86" i="12"/>
  <c r="I98" i="4"/>
  <c r="K108" i="4"/>
  <c r="I92" i="12"/>
  <c r="I83" i="12"/>
  <c r="I89" i="12"/>
  <c r="I95" i="4"/>
  <c r="H24" i="15"/>
  <c r="H29" i="15" s="1"/>
  <c r="O24" i="7"/>
  <c r="O13" i="7"/>
  <c r="O8" i="7"/>
  <c r="O14" i="7"/>
  <c r="O7" i="7"/>
  <c r="O10" i="7"/>
  <c r="O31" i="7"/>
  <c r="O9" i="7"/>
  <c r="O29" i="7"/>
  <c r="O30" i="7"/>
  <c r="O32" i="7"/>
  <c r="O27" i="7"/>
  <c r="O26" i="7"/>
  <c r="O25" i="7"/>
  <c r="O16" i="7"/>
  <c r="O28" i="7"/>
  <c r="O23" i="7"/>
  <c r="O12" i="7"/>
  <c r="O11" i="7"/>
  <c r="O15" i="7"/>
  <c r="K93" i="12"/>
  <c r="K118" i="4"/>
  <c r="K87" i="12"/>
  <c r="K84" i="12"/>
  <c r="H89" i="4"/>
  <c r="H90" i="4" s="1"/>
  <c r="I90" i="4"/>
  <c r="M121" i="4"/>
  <c r="O121" i="4" s="1"/>
  <c r="O48" i="4" s="1"/>
  <c r="M108" i="4"/>
  <c r="O108" i="4" s="1"/>
  <c r="O37" i="4" s="1"/>
  <c r="I23" i="4"/>
  <c r="M23" i="4"/>
  <c r="M5" i="6"/>
  <c r="M42" i="6" s="1"/>
  <c r="K42" i="6"/>
  <c r="I42" i="6" s="1"/>
  <c r="J24" i="15" l="1"/>
  <c r="J29" i="15" s="1"/>
  <c r="L29" i="15" s="1"/>
  <c r="K23" i="12"/>
  <c r="I23" i="12"/>
  <c r="C20" i="4"/>
  <c r="O17" i="7"/>
  <c r="O33" i="7"/>
  <c r="O55" i="12"/>
  <c r="H77" i="12"/>
  <c r="H78" i="12" s="1"/>
  <c r="O23" i="4"/>
  <c r="O24" i="4" s="1"/>
  <c r="O35" i="7" l="1"/>
  <c r="O86" i="7" s="1"/>
  <c r="O49" i="12" s="1"/>
  <c r="O23" i="12"/>
  <c r="M24" i="12" s="1"/>
  <c r="O24" i="12" s="1"/>
  <c r="O44" i="12" s="1"/>
  <c r="M92" i="12"/>
  <c r="O92" i="12" s="1"/>
  <c r="O32" i="12" s="1"/>
  <c r="M100" i="12"/>
  <c r="O100" i="12" s="1"/>
  <c r="O38" i="12" s="1"/>
  <c r="O61" i="4"/>
  <c r="O65" i="4" s="1"/>
  <c r="M98" i="4"/>
  <c r="O98" i="4" s="1"/>
  <c r="O29" i="4" s="1"/>
  <c r="M101" i="4"/>
  <c r="O101" i="4" s="1"/>
  <c r="O31" i="4" s="1"/>
  <c r="M95" i="4"/>
  <c r="O95" i="4" s="1"/>
  <c r="O27" i="4" s="1"/>
  <c r="M104" i="4"/>
  <c r="O104" i="4" s="1"/>
  <c r="O33" i="4" s="1"/>
  <c r="I56" i="4"/>
  <c r="K56" i="4" s="1"/>
  <c r="O56" i="4" s="1"/>
  <c r="M83" i="12"/>
  <c r="O83" i="12" s="1"/>
  <c r="O26" i="12" s="1"/>
  <c r="M122" i="4"/>
  <c r="O122" i="4" s="1"/>
  <c r="M109" i="4"/>
  <c r="O109" i="4" s="1"/>
  <c r="M114" i="4"/>
  <c r="O114" i="4" s="1"/>
  <c r="M117" i="4"/>
  <c r="O117" i="4" s="1"/>
  <c r="K76" i="12"/>
  <c r="K88" i="4"/>
  <c r="O37" i="7" l="1"/>
  <c r="O88" i="7"/>
  <c r="O53" i="12" s="1"/>
  <c r="H34" i="15"/>
  <c r="H50" i="15" s="1"/>
  <c r="M86" i="12"/>
  <c r="O86" i="12" s="1"/>
  <c r="O28" i="12" s="1"/>
  <c r="M89" i="12"/>
  <c r="O89" i="12" s="1"/>
  <c r="O30" i="12" s="1"/>
  <c r="M97" i="12"/>
  <c r="O97" i="12" s="1"/>
  <c r="O36" i="12" s="1"/>
  <c r="E77" i="12"/>
  <c r="E78" i="12" s="1"/>
  <c r="E89" i="4"/>
  <c r="E90" i="4" s="1"/>
  <c r="O106" i="4"/>
  <c r="O55" i="4" s="1"/>
  <c r="O44" i="4"/>
  <c r="O42" i="4"/>
  <c r="O119" i="4"/>
  <c r="O49" i="4"/>
  <c r="O38" i="4"/>
  <c r="J34" i="15" l="1"/>
  <c r="H38" i="15"/>
  <c r="O103" i="12"/>
  <c r="O40" i="12" s="1"/>
  <c r="O95" i="12"/>
  <c r="O35" i="4"/>
  <c r="O39" i="4" s="1"/>
  <c r="O58" i="4"/>
  <c r="O111" i="4"/>
  <c r="O46" i="4"/>
  <c r="O124" i="4"/>
  <c r="O104" i="12" l="1"/>
  <c r="O41" i="12" s="1"/>
  <c r="J38" i="15"/>
  <c r="L38" i="15" s="1"/>
  <c r="J50" i="15"/>
  <c r="O34" i="12"/>
  <c r="O42" i="12"/>
  <c r="O51" i="4"/>
  <c r="O52" i="4" s="1"/>
  <c r="O125" i="4"/>
  <c r="O53" i="4" s="1"/>
  <c r="I71" i="9" l="1"/>
  <c r="C76" i="12" s="1"/>
  <c r="I70" i="9"/>
  <c r="O45" i="12" s="1"/>
  <c r="O46" i="12" s="1"/>
  <c r="O54" i="12" s="1"/>
  <c r="O66" i="4"/>
  <c r="C88" i="4" l="1"/>
  <c r="C89" i="4" s="1"/>
  <c r="C90" i="4" s="1"/>
  <c r="I56" i="12"/>
  <c r="O56" i="12"/>
  <c r="K57" i="12" s="1"/>
  <c r="O57" i="12" s="1"/>
  <c r="K77" i="12" s="1"/>
  <c r="K78" i="12" s="1"/>
  <c r="I59" i="12"/>
  <c r="M71" i="4"/>
  <c r="O68" i="4"/>
  <c r="K69" i="4" s="1"/>
  <c r="O69" i="4" s="1"/>
  <c r="K89" i="4" s="1"/>
  <c r="M68" i="4"/>
  <c r="B88" i="4" l="1"/>
  <c r="B89" i="4" s="1"/>
  <c r="O89" i="4" s="1"/>
  <c r="B76" i="12"/>
  <c r="C77" i="12"/>
  <c r="C78" i="12" s="1"/>
  <c r="O59" i="12"/>
  <c r="O71" i="4"/>
  <c r="K90" i="4"/>
  <c r="O88" i="4" l="1"/>
  <c r="L19" i="15"/>
  <c r="L53" i="15" s="1"/>
  <c r="B77" i="12"/>
  <c r="B78" i="12" s="1"/>
  <c r="N78" i="12" s="1"/>
  <c r="B90" i="4"/>
  <c r="O90" i="4" s="1"/>
  <c r="N76" i="12"/>
  <c r="O85" i="4"/>
  <c r="L54" i="15" l="1"/>
  <c r="L56" i="15" s="1"/>
  <c r="N77" i="12"/>
  <c r="H54" i="15"/>
</calcChain>
</file>

<file path=xl/comments1.xml><?xml version="1.0" encoding="utf-8"?>
<comments xmlns="http://schemas.openxmlformats.org/spreadsheetml/2006/main">
  <authors>
    <author>BEAURAIN</author>
    <author>charles beaurain</author>
    <author>Charles Beaurain</author>
    <author>Charles</author>
  </authors>
  <commentList>
    <comment ref="F11" authorId="0">
      <text>
        <r>
          <rPr>
            <b/>
            <sz val="10"/>
            <color indexed="10"/>
            <rFont val="Tahoma"/>
            <family val="2"/>
          </rPr>
          <t>THE TOTAL NUMBER OF DAYS MUST BE INSERTED (ACCUMULATIVE) OTHERWISE INSERT "</t>
        </r>
        <r>
          <rPr>
            <b/>
            <sz val="12"/>
            <color indexed="10"/>
            <rFont val="Tahoma"/>
            <family val="2"/>
          </rPr>
          <t>1</t>
        </r>
        <r>
          <rPr>
            <b/>
            <sz val="10"/>
            <color indexed="10"/>
            <rFont val="Tahoma"/>
            <family val="2"/>
          </rPr>
          <t xml:space="preserve">" </t>
        </r>
        <r>
          <rPr>
            <sz val="8"/>
            <color indexed="81"/>
            <rFont val="Tahoma"/>
            <family val="2"/>
          </rPr>
          <t xml:space="preserve">
</t>
        </r>
      </text>
    </comment>
    <comment ref="H11" authorId="0">
      <text>
        <r>
          <rPr>
            <sz val="8"/>
            <color indexed="81"/>
            <rFont val="Tahoma"/>
            <family val="2"/>
          </rPr>
          <t xml:space="preserve">
AMOUNT APPROVED BY THE D: PM
</t>
        </r>
      </text>
    </comment>
    <comment ref="D18" authorId="0">
      <text>
        <r>
          <rPr>
            <b/>
            <sz val="8"/>
            <color indexed="81"/>
            <rFont val="Tahoma"/>
            <family val="2"/>
          </rPr>
          <t>BEAURAIN:</t>
        </r>
        <r>
          <rPr>
            <sz val="8"/>
            <color indexed="81"/>
            <rFont val="Tahoma"/>
            <family val="2"/>
          </rPr>
          <t xml:space="preserve">
</t>
        </r>
        <r>
          <rPr>
            <sz val="10"/>
            <color indexed="81"/>
            <rFont val="Tahoma"/>
            <family val="2"/>
          </rPr>
          <t>Type "None" if not registered otherwise insert the registration number.</t>
        </r>
      </text>
    </comment>
    <comment ref="D21" authorId="0">
      <text>
        <r>
          <rPr>
            <sz val="12"/>
            <color indexed="10"/>
            <rFont val="Tahoma"/>
            <family val="2"/>
          </rPr>
          <t>ACCORDING TO YOUR CONTRACT WITH DPW</t>
        </r>
      </text>
    </comment>
    <comment ref="E21" authorId="1">
      <text>
        <r>
          <rPr>
            <b/>
            <sz val="8"/>
            <color indexed="81"/>
            <rFont val="Tahoma"/>
            <family val="2"/>
          </rPr>
          <t>Charles beau rain:</t>
        </r>
        <r>
          <rPr>
            <sz val="8"/>
            <color indexed="81"/>
            <rFont val="Tahoma"/>
            <family val="2"/>
          </rPr>
          <t xml:space="preserve">
INSERT THE NUMBER IN THE GREEN BLOCK THAT APPEARS NEXT 
TO THE RELEVANT 
YEAR OF FEES STATED IN THE LETTER OF APPOINTMENT</t>
        </r>
      </text>
    </comment>
    <comment ref="D27" authorId="0">
      <text>
        <r>
          <rPr>
            <sz val="11"/>
            <color indexed="10"/>
            <rFont val="Arial"/>
            <family val="2"/>
          </rPr>
          <t>Insert the percentage tendered . In case of an appointment i.t.o the Standard Letter of Appointment, insert 100.</t>
        </r>
      </text>
    </comment>
    <comment ref="F36" authorId="1">
      <text>
        <r>
          <rPr>
            <b/>
            <sz val="8"/>
            <color indexed="81"/>
            <rFont val="Tahoma"/>
            <family val="2"/>
          </rPr>
          <t>C</t>
        </r>
        <r>
          <rPr>
            <b/>
            <sz val="10"/>
            <color indexed="81"/>
            <rFont val="Tahoma"/>
            <family val="2"/>
          </rPr>
          <t>harles beau rain:</t>
        </r>
        <r>
          <rPr>
            <sz val="10"/>
            <color indexed="81"/>
            <rFont val="Tahoma"/>
            <family val="2"/>
          </rPr>
          <t xml:space="preserve">
Only ="Y" when  no Quantity surveyor is appointed on the project to do the bill of quantities.
</t>
        </r>
      </text>
    </comment>
    <comment ref="F37" authorId="1">
      <text>
        <r>
          <rPr>
            <b/>
            <sz val="8"/>
            <color indexed="81"/>
            <rFont val="Tahoma"/>
            <family val="2"/>
          </rPr>
          <t>Charles beau rain:</t>
        </r>
        <r>
          <rPr>
            <sz val="8"/>
            <color indexed="81"/>
            <rFont val="Tahoma"/>
            <family val="2"/>
          </rPr>
          <t xml:space="preserve">
</t>
        </r>
        <r>
          <rPr>
            <sz val="10"/>
            <color indexed="81"/>
            <rFont val="Tahoma"/>
            <family val="2"/>
          </rPr>
          <t>Only "Y" when specifically appointed as Principal Agent.</t>
        </r>
      </text>
    </comment>
    <comment ref="F38" authorId="2">
      <text>
        <r>
          <rPr>
            <b/>
            <sz val="8"/>
            <color indexed="81"/>
            <rFont val="Tahoma"/>
            <family val="2"/>
          </rPr>
          <t>Charles Beaurain:</t>
        </r>
        <r>
          <rPr>
            <sz val="8"/>
            <color indexed="81"/>
            <rFont val="Tahoma"/>
            <family val="2"/>
          </rPr>
          <t xml:space="preserve">
</t>
        </r>
        <r>
          <rPr>
            <sz val="9"/>
            <color indexed="81"/>
            <rFont val="Tahoma"/>
            <family val="2"/>
          </rPr>
          <t>Only "y" if appointed as Principal Agent or Lead Consulting Engineer on an Engineering project.</t>
        </r>
        <r>
          <rPr>
            <sz val="8"/>
            <color indexed="81"/>
            <rFont val="Tahoma"/>
            <family val="2"/>
          </rPr>
          <t xml:space="preserve">
</t>
        </r>
      </text>
    </comment>
    <comment ref="F39" authorId="2">
      <text>
        <r>
          <rPr>
            <b/>
            <sz val="8"/>
            <color indexed="81"/>
            <rFont val="Tahoma"/>
            <family val="2"/>
          </rPr>
          <t>Charles Beaurain:</t>
        </r>
        <r>
          <rPr>
            <sz val="8"/>
            <color indexed="81"/>
            <rFont val="Tahoma"/>
            <family val="2"/>
          </rPr>
          <t xml:space="preserve">
</t>
        </r>
        <r>
          <rPr>
            <sz val="9"/>
            <color indexed="81"/>
            <rFont val="Tahoma"/>
            <family val="2"/>
          </rPr>
          <t>Only "y" if appointed as Principal Agent or Lead Consulting Engineer on an Engineering project.</t>
        </r>
        <r>
          <rPr>
            <sz val="8"/>
            <color indexed="81"/>
            <rFont val="Tahoma"/>
            <family val="2"/>
          </rPr>
          <t xml:space="preserve">
</t>
        </r>
      </text>
    </comment>
    <comment ref="E42" authorId="0">
      <text>
        <r>
          <rPr>
            <sz val="10"/>
            <color indexed="81"/>
            <rFont val="Tahoma"/>
            <family val="2"/>
          </rPr>
          <t xml:space="preserve">Costs of lifts and generators must be included.
</t>
        </r>
      </text>
    </comment>
    <comment ref="F42" authorId="0">
      <text>
        <r>
          <rPr>
            <sz val="10"/>
            <color indexed="81"/>
            <rFont val="Tahoma"/>
            <family val="2"/>
          </rPr>
          <t xml:space="preserve">Costs of lifts and generators must be included.
</t>
        </r>
      </text>
    </comment>
    <comment ref="G42" authorId="0">
      <text>
        <r>
          <rPr>
            <sz val="10"/>
            <color indexed="81"/>
            <rFont val="Tahoma"/>
            <family val="2"/>
          </rPr>
          <t xml:space="preserve">Costs of lifts and generators must be included.
</t>
        </r>
      </text>
    </comment>
    <comment ref="E43" authorId="0">
      <text>
        <r>
          <rPr>
            <sz val="10"/>
            <color indexed="81"/>
            <rFont val="Tahoma"/>
            <family val="2"/>
          </rPr>
          <t xml:space="preserve">Costs of lifts and generators must be included.
</t>
        </r>
      </text>
    </comment>
    <comment ref="F43" authorId="0">
      <text>
        <r>
          <rPr>
            <sz val="10"/>
            <color indexed="81"/>
            <rFont val="Tahoma"/>
            <family val="2"/>
          </rPr>
          <t xml:space="preserve">Costs of lifts and generators must be included.
</t>
        </r>
      </text>
    </comment>
    <comment ref="G43" authorId="0">
      <text>
        <r>
          <rPr>
            <sz val="10"/>
            <color indexed="81"/>
            <rFont val="Tahoma"/>
            <family val="2"/>
          </rPr>
          <t xml:space="preserve">Costs of lifts and generators must be included.
</t>
        </r>
      </text>
    </comment>
    <comment ref="E44" authorId="0">
      <text>
        <r>
          <rPr>
            <sz val="10"/>
            <color indexed="81"/>
            <rFont val="Tahoma"/>
            <family val="2"/>
          </rPr>
          <t xml:space="preserve">Costs of lifts and generators must be included.
</t>
        </r>
      </text>
    </comment>
    <comment ref="F44" authorId="0">
      <text>
        <r>
          <rPr>
            <sz val="10"/>
            <color indexed="81"/>
            <rFont val="Tahoma"/>
            <family val="2"/>
          </rPr>
          <t xml:space="preserve">Costs of lifts and generators must be included.
</t>
        </r>
      </text>
    </comment>
    <comment ref="G44" authorId="0">
      <text>
        <r>
          <rPr>
            <sz val="10"/>
            <color indexed="81"/>
            <rFont val="Tahoma"/>
            <family val="2"/>
          </rPr>
          <t xml:space="preserve">Costs of lifts and generators must be included.
</t>
        </r>
      </text>
    </comment>
    <comment ref="E45" authorId="0">
      <text>
        <r>
          <rPr>
            <sz val="10"/>
            <color indexed="81"/>
            <rFont val="Tahoma"/>
            <family val="2"/>
          </rPr>
          <t xml:space="preserve">Costs of lifts and generators must be included.
</t>
        </r>
      </text>
    </comment>
    <comment ref="F45" authorId="0">
      <text>
        <r>
          <rPr>
            <sz val="10"/>
            <color indexed="81"/>
            <rFont val="Tahoma"/>
            <family val="2"/>
          </rPr>
          <t xml:space="preserve">Costs of lifts and generators must be included.
</t>
        </r>
      </text>
    </comment>
    <comment ref="G45" authorId="0">
      <text>
        <r>
          <rPr>
            <sz val="10"/>
            <color indexed="81"/>
            <rFont val="Tahoma"/>
            <family val="2"/>
          </rPr>
          <t xml:space="preserve">Costs of lifts and generators must be included.
</t>
        </r>
      </text>
    </comment>
    <comment ref="E48" authorId="3">
      <text>
        <r>
          <rPr>
            <sz val="12"/>
            <color indexed="10"/>
            <rFont val="Tahoma"/>
            <family val="2"/>
          </rPr>
          <t>Only complete in case consultant is appointed as Principal Agent</t>
        </r>
        <r>
          <rPr>
            <sz val="8"/>
            <color indexed="81"/>
            <rFont val="Tahoma"/>
            <family val="2"/>
          </rPr>
          <t xml:space="preserve">
</t>
        </r>
      </text>
    </comment>
    <comment ref="F48" authorId="3">
      <text>
        <r>
          <rPr>
            <sz val="12"/>
            <color indexed="10"/>
            <rFont val="Tahoma"/>
            <family val="2"/>
          </rPr>
          <t>Only complete in case consultant is appointed as Principal Agent</t>
        </r>
        <r>
          <rPr>
            <sz val="8"/>
            <color indexed="81"/>
            <rFont val="Tahoma"/>
            <family val="2"/>
          </rPr>
          <t xml:space="preserve">
</t>
        </r>
      </text>
    </comment>
    <comment ref="G48" authorId="3">
      <text>
        <r>
          <rPr>
            <sz val="12"/>
            <color indexed="10"/>
            <rFont val="Tahoma"/>
            <family val="2"/>
          </rPr>
          <t>Only complete in case consultant is appointed as Principal Agent</t>
        </r>
        <r>
          <rPr>
            <sz val="8"/>
            <color indexed="81"/>
            <rFont val="Tahoma"/>
            <family val="2"/>
          </rPr>
          <t xml:space="preserve">
</t>
        </r>
      </text>
    </comment>
    <comment ref="G53" authorId="3">
      <text>
        <r>
          <rPr>
            <sz val="12"/>
            <color indexed="10"/>
            <rFont val="Tahoma"/>
            <family val="2"/>
          </rPr>
          <t>Only complete in case consultant is appointed as Principal Agent</t>
        </r>
        <r>
          <rPr>
            <sz val="8"/>
            <color indexed="81"/>
            <rFont val="Tahoma"/>
            <family val="2"/>
          </rPr>
          <t xml:space="preserve">
</t>
        </r>
      </text>
    </comment>
  </commentList>
</comments>
</file>

<file path=xl/comments2.xml><?xml version="1.0" encoding="utf-8"?>
<comments xmlns="http://schemas.openxmlformats.org/spreadsheetml/2006/main">
  <authors>
    <author>BEAURAIN</author>
    <author>charles beaurain</author>
    <author>Charles Beaurain</author>
    <author>Charles</author>
  </authors>
  <commentList>
    <comment ref="F11" authorId="0">
      <text>
        <r>
          <rPr>
            <b/>
            <sz val="10"/>
            <color indexed="10"/>
            <rFont val="Tahoma"/>
            <family val="2"/>
          </rPr>
          <t>THE TOTAL NUMBER OF DAYS MUST BE INSERTED (ACCUMULATIVE) OTHERWISE INSERT "</t>
        </r>
        <r>
          <rPr>
            <b/>
            <sz val="12"/>
            <color indexed="10"/>
            <rFont val="Tahoma"/>
            <family val="2"/>
          </rPr>
          <t>1</t>
        </r>
        <r>
          <rPr>
            <b/>
            <sz val="10"/>
            <color indexed="10"/>
            <rFont val="Tahoma"/>
            <family val="2"/>
          </rPr>
          <t xml:space="preserve">" </t>
        </r>
        <r>
          <rPr>
            <sz val="8"/>
            <color indexed="81"/>
            <rFont val="Tahoma"/>
            <family val="2"/>
          </rPr>
          <t xml:space="preserve">
</t>
        </r>
      </text>
    </comment>
    <comment ref="H11" authorId="0">
      <text>
        <r>
          <rPr>
            <sz val="8"/>
            <color indexed="81"/>
            <rFont val="Tahoma"/>
            <family val="2"/>
          </rPr>
          <t xml:space="preserve">
AMOUNT APPROVED BY THE D: PM
</t>
        </r>
      </text>
    </comment>
    <comment ref="D18" authorId="0">
      <text>
        <r>
          <rPr>
            <sz val="12"/>
            <color indexed="10"/>
            <rFont val="Tahoma"/>
            <family val="2"/>
          </rPr>
          <t>Type "None" if not registered otherwise insert the registration number.</t>
        </r>
      </text>
    </comment>
    <comment ref="D21" authorId="0">
      <text>
        <r>
          <rPr>
            <sz val="12"/>
            <color indexed="10"/>
            <rFont val="Tahoma"/>
            <family val="2"/>
          </rPr>
          <t>ACCORDING TO YOUR CONTRACT WITH DPW</t>
        </r>
      </text>
    </comment>
    <comment ref="E21" authorId="1">
      <text>
        <r>
          <rPr>
            <b/>
            <sz val="8"/>
            <color indexed="81"/>
            <rFont val="Tahoma"/>
            <family val="2"/>
          </rPr>
          <t>Charles beau rain:</t>
        </r>
        <r>
          <rPr>
            <sz val="8"/>
            <color indexed="81"/>
            <rFont val="Tahoma"/>
            <family val="2"/>
          </rPr>
          <t xml:space="preserve">
INSERT THE NUMBER IN THE GREEN BLOCK THAT APPEARS NEXT 
TO THE RELEVANT 
YEAR OF FEES STATED IN THE LETTER OF APPOINTMENT</t>
        </r>
      </text>
    </comment>
    <comment ref="D27" authorId="0">
      <text>
        <r>
          <rPr>
            <sz val="11"/>
            <color indexed="10"/>
            <rFont val="Arial"/>
            <family val="2"/>
          </rPr>
          <t>Insert the percentage tendered . In case of an appointment i.t.o the Standard Letter of Appointment, insert 100.</t>
        </r>
      </text>
    </comment>
    <comment ref="F36" authorId="1">
      <text>
        <r>
          <rPr>
            <b/>
            <sz val="8"/>
            <color indexed="81"/>
            <rFont val="Tahoma"/>
            <family val="2"/>
          </rPr>
          <t>C</t>
        </r>
        <r>
          <rPr>
            <b/>
            <sz val="10"/>
            <color indexed="81"/>
            <rFont val="Tahoma"/>
            <family val="2"/>
          </rPr>
          <t>harles beau rain:</t>
        </r>
        <r>
          <rPr>
            <sz val="10"/>
            <color indexed="81"/>
            <rFont val="Tahoma"/>
            <family val="2"/>
          </rPr>
          <t xml:space="preserve">
Only ="Y" when  no Quantity surveyor is appointed on the project to do the bill of quantities.
</t>
        </r>
      </text>
    </comment>
    <comment ref="F37" authorId="1">
      <text>
        <r>
          <rPr>
            <b/>
            <sz val="8"/>
            <color indexed="81"/>
            <rFont val="Tahoma"/>
            <family val="2"/>
          </rPr>
          <t>Charles beau rain:</t>
        </r>
        <r>
          <rPr>
            <sz val="8"/>
            <color indexed="81"/>
            <rFont val="Tahoma"/>
            <family val="2"/>
          </rPr>
          <t xml:space="preserve">
</t>
        </r>
        <r>
          <rPr>
            <sz val="10"/>
            <color indexed="81"/>
            <rFont val="Tahoma"/>
            <family val="2"/>
          </rPr>
          <t>Only "Y" when specifically appointed as Principal Agent.</t>
        </r>
      </text>
    </comment>
    <comment ref="F38" authorId="2">
      <text>
        <r>
          <rPr>
            <b/>
            <sz val="8"/>
            <color indexed="81"/>
            <rFont val="Tahoma"/>
            <family val="2"/>
          </rPr>
          <t>Charles Beaurain:</t>
        </r>
        <r>
          <rPr>
            <sz val="8"/>
            <color indexed="81"/>
            <rFont val="Tahoma"/>
            <family val="2"/>
          </rPr>
          <t xml:space="preserve">
</t>
        </r>
        <r>
          <rPr>
            <sz val="9"/>
            <color indexed="81"/>
            <rFont val="Tahoma"/>
            <family val="2"/>
          </rPr>
          <t>Only "y" if appointed as Principal Agent or Lead Consulting Engineer on an Engineering project.</t>
        </r>
        <r>
          <rPr>
            <sz val="8"/>
            <color indexed="81"/>
            <rFont val="Tahoma"/>
            <family val="2"/>
          </rPr>
          <t xml:space="preserve">
</t>
        </r>
      </text>
    </comment>
    <comment ref="F39" authorId="2">
      <text>
        <r>
          <rPr>
            <b/>
            <sz val="8"/>
            <color indexed="81"/>
            <rFont val="Tahoma"/>
            <family val="2"/>
          </rPr>
          <t>Charles Beaurain:</t>
        </r>
        <r>
          <rPr>
            <sz val="8"/>
            <color indexed="81"/>
            <rFont val="Tahoma"/>
            <family val="2"/>
          </rPr>
          <t xml:space="preserve">
</t>
        </r>
        <r>
          <rPr>
            <sz val="9"/>
            <color indexed="81"/>
            <rFont val="Tahoma"/>
            <family val="2"/>
          </rPr>
          <t>Only "y" if appointed as Principal Agent or Lead Consulting Engineer on an Engineering project.</t>
        </r>
        <r>
          <rPr>
            <sz val="8"/>
            <color indexed="81"/>
            <rFont val="Tahoma"/>
            <family val="2"/>
          </rPr>
          <t xml:space="preserve">
</t>
        </r>
      </text>
    </comment>
    <comment ref="G53" authorId="3">
      <text>
        <r>
          <rPr>
            <b/>
            <sz val="8"/>
            <color indexed="81"/>
            <rFont val="Tahoma"/>
            <family val="2"/>
          </rPr>
          <t>Charles:</t>
        </r>
        <r>
          <rPr>
            <sz val="8"/>
            <color indexed="81"/>
            <rFont val="Tahoma"/>
            <family val="2"/>
          </rPr>
          <t xml:space="preserve">
</t>
        </r>
        <r>
          <rPr>
            <sz val="10"/>
            <color indexed="81"/>
            <rFont val="Tahoma"/>
            <family val="2"/>
          </rPr>
          <t>Only complete in case consultant is Principal Agent</t>
        </r>
        <r>
          <rPr>
            <sz val="8"/>
            <color indexed="81"/>
            <rFont val="Tahoma"/>
            <family val="2"/>
          </rPr>
          <t xml:space="preserve">
</t>
        </r>
      </text>
    </comment>
  </commentList>
</comments>
</file>

<file path=xl/comments3.xml><?xml version="1.0" encoding="utf-8"?>
<comments xmlns="http://schemas.openxmlformats.org/spreadsheetml/2006/main">
  <authors>
    <author>Charles Beaurain</author>
  </authors>
  <commentList>
    <comment ref="O4" authorId="0">
      <text>
        <r>
          <rPr>
            <sz val="9"/>
            <color indexed="81"/>
            <rFont val="Tahoma"/>
            <family val="2"/>
          </rPr>
          <t xml:space="preserve">
USE ONLY ONE FORM PER TRIP PLEASE
</t>
        </r>
      </text>
    </comment>
  </commentList>
</comments>
</file>

<file path=xl/comments4.xml><?xml version="1.0" encoding="utf-8"?>
<comments xmlns="http://schemas.openxmlformats.org/spreadsheetml/2006/main">
  <authors>
    <author>BEAURAIN</author>
  </authors>
  <commentList>
    <comment ref="J20" authorId="0">
      <text>
        <r>
          <rPr>
            <sz val="8"/>
            <color indexed="10"/>
            <rFont val="Tahoma"/>
            <family val="2"/>
          </rPr>
          <t>Enter the total amount of all previous payments on this item here as well as on the Previous Payments sheet.</t>
        </r>
      </text>
    </comment>
  </commentList>
</comments>
</file>

<file path=xl/sharedStrings.xml><?xml version="1.0" encoding="utf-8"?>
<sst xmlns="http://schemas.openxmlformats.org/spreadsheetml/2006/main" count="1198" uniqueCount="630">
  <si>
    <t>PLUS VAT @</t>
  </si>
  <si>
    <t xml:space="preserve"> x</t>
  </si>
  <si>
    <t xml:space="preserve"> x {</t>
  </si>
  <si>
    <t>)}=</t>
  </si>
  <si>
    <t>Date</t>
  </si>
  <si>
    <t>Rate</t>
  </si>
  <si>
    <t>Total</t>
  </si>
  <si>
    <t>Amount</t>
  </si>
  <si>
    <t>DATE</t>
  </si>
  <si>
    <t>Hours</t>
  </si>
  <si>
    <t>Hotel Name</t>
  </si>
  <si>
    <t>Delivered to</t>
  </si>
  <si>
    <t>Size</t>
  </si>
  <si>
    <t>Type</t>
  </si>
  <si>
    <t>1. Typing</t>
  </si>
  <si>
    <t>2. Duplicating</t>
  </si>
  <si>
    <t>Description of Document</t>
  </si>
  <si>
    <t>Pages</t>
  </si>
  <si>
    <t>ADDRESS:</t>
  </si>
  <si>
    <t>SERVICE:</t>
  </si>
  <si>
    <t>INVOICE NUMBER:</t>
  </si>
  <si>
    <t>TOTAL PROFESSIONAL FEES DUE (a) + (b)</t>
  </si>
  <si>
    <t>OF</t>
  </si>
  <si>
    <t>NOTE:</t>
  </si>
  <si>
    <t>x</t>
  </si>
  <si>
    <t>Designation</t>
  </si>
  <si>
    <t>BASIC FEE</t>
  </si>
  <si>
    <t>PRINCIPAL AGENT</t>
  </si>
  <si>
    <t>DATE APPOINTED :</t>
  </si>
  <si>
    <t>TARIFF OF FEES TO APPLY :</t>
  </si>
  <si>
    <t>Attached to Claim No</t>
  </si>
  <si>
    <t>SCHEDULE V: TIME BASED FEES</t>
  </si>
  <si>
    <t>Approval</t>
  </si>
  <si>
    <t>Describe</t>
  </si>
  <si>
    <t>A</t>
  </si>
  <si>
    <t>D</t>
  </si>
  <si>
    <t>B</t>
  </si>
  <si>
    <t>E</t>
  </si>
  <si>
    <t>C</t>
  </si>
  <si>
    <t>F</t>
  </si>
  <si>
    <t>Name</t>
  </si>
  <si>
    <t>Task</t>
  </si>
  <si>
    <t>Reason</t>
  </si>
  <si>
    <t>Amount Claimed</t>
  </si>
  <si>
    <t>Other: Time Based fees Total</t>
  </si>
  <si>
    <t xml:space="preserve">From </t>
  </si>
  <si>
    <t>To</t>
  </si>
  <si>
    <t>Total Hours</t>
  </si>
  <si>
    <t>Vehicle A</t>
  </si>
  <si>
    <t>Make:</t>
  </si>
  <si>
    <t>Engine Capacity:</t>
  </si>
  <si>
    <t>Vehicle</t>
  </si>
  <si>
    <t>Total Distance</t>
  </si>
  <si>
    <t xml:space="preserve">Total Days </t>
  </si>
  <si>
    <t>Invoice No.</t>
  </si>
  <si>
    <t>Invoice Number</t>
  </si>
  <si>
    <t>Invoice Date</t>
  </si>
  <si>
    <t>SCHEDULE X: TYPING, DUPLICATING &amp; PRINTING</t>
  </si>
  <si>
    <t>Description of Document:</t>
  </si>
  <si>
    <t>Copies</t>
  </si>
  <si>
    <t>3. Covers and Binders</t>
  </si>
  <si>
    <t>No of Documents</t>
  </si>
  <si>
    <t>4. Printing Costs</t>
  </si>
  <si>
    <t>No of Prints</t>
  </si>
  <si>
    <t>Drawing Numbers</t>
  </si>
  <si>
    <t>SCHEDULE Y: SITE STAFF &amp; OTHER CHARGES</t>
  </si>
  <si>
    <t>A: Part Time Supervision</t>
  </si>
  <si>
    <t>Month</t>
  </si>
  <si>
    <t>Claimed Hours</t>
  </si>
  <si>
    <t>B: Full Time Supervision</t>
  </si>
  <si>
    <t>Approved Remuneration</t>
  </si>
  <si>
    <t>C: Travelling expenses</t>
  </si>
  <si>
    <t>Distance approved km</t>
  </si>
  <si>
    <t>Distance km</t>
  </si>
  <si>
    <t>Vehicle cc</t>
  </si>
  <si>
    <t>Invoice or TMB Number</t>
  </si>
  <si>
    <t>Laboratory/ Place</t>
  </si>
  <si>
    <t>Number of tests</t>
  </si>
  <si>
    <t>TYPING, DUPLICATING, COVERS &amp; BINDERS &amp; PRINTS</t>
  </si>
  <si>
    <t>SCHEDULE Z: NON-TAXABLE EXPENSES</t>
  </si>
  <si>
    <t>1. Non Taxable Services</t>
  </si>
  <si>
    <t>Reference No</t>
  </si>
  <si>
    <t>Airport tax</t>
  </si>
  <si>
    <t>Hotel levy</t>
  </si>
  <si>
    <t>Non Taxable Expenses could include any of the following [This list is not exclusive]:</t>
  </si>
  <si>
    <t>A.</t>
  </si>
  <si>
    <t>C.</t>
  </si>
  <si>
    <t>E.</t>
  </si>
  <si>
    <t>B.</t>
  </si>
  <si>
    <t>Re-Fuel charges</t>
  </si>
  <si>
    <t>D.</t>
  </si>
  <si>
    <t>Other</t>
  </si>
  <si>
    <t>F.</t>
  </si>
  <si>
    <t xml:space="preserve">VAT REGISTRATION NO: </t>
  </si>
  <si>
    <t xml:space="preserve">VAT REGISTRATION </t>
  </si>
  <si>
    <t>LESS TOTAL PREVIOUS PAYMENTS (EXCL VAT)</t>
  </si>
  <si>
    <t>SERVICE: DESCRIPTION</t>
  </si>
  <si>
    <t>+</t>
  </si>
  <si>
    <t>MAXIMUM FOR "AGENT OF THE CLIENT"</t>
  </si>
  <si>
    <t>TYPE OF PROJECT:</t>
  </si>
  <si>
    <t>ELECTRICAL ENGINEERING PROJECT</t>
  </si>
  <si>
    <t>TAX INVOICE</t>
  </si>
  <si>
    <t>VALUE FOR CALCULATION PURPOSES</t>
  </si>
  <si>
    <t>VALUE OF ALL ALTERATIONS TO EXISTING FACILITIES NOT AFFECTED BY ANY FACTOR OTHER THAN 1.25.</t>
  </si>
  <si>
    <t>VALUE OF DUPLICATES NOT AFFECTED BY ANY FACTOR OTHER THAN 0.25.</t>
  </si>
  <si>
    <t>DUPLICATES NOT AFFECTED BY ANY FACTOR OTHER THAN .25.</t>
  </si>
  <si>
    <t>ADD: NON TAXABLE AMOUNT CLAIMED</t>
  </si>
  <si>
    <t>DATE OF INVOICE</t>
  </si>
  <si>
    <t>Access to any cells within the workbook, which do not require to be populated, have been protected - do not try to access/open any uncoloured cells on any of the worksheets.</t>
  </si>
  <si>
    <t>Only coloured cells require input from the Consulting Engineer/Project manager</t>
  </si>
  <si>
    <t>Certain cells will reflect Error-message in red bold type or #Div/0-messages.  These will start to disappear once the required cells have been populated with correct information.  If such cells have been populated with incorrect information, the Error-messages will remain.  The #Div/0 will equally disappear as the worksheets are populated - except in unused fields.</t>
  </si>
  <si>
    <t xml:space="preserve">After all information has been entered into the workbook, set the print areas in each of the worksheets (File: Set Print Area).  Print Areas to cover all the data which is required to be printed for the purposes of the fee invoice submission in each of the worksheets.  Empty rows may be hided for the purpose of saving paper (otherwise a host of empty rows and columns will be unnecessarily printed). </t>
  </si>
  <si>
    <t>PROCEDURE TO FOLLOW IN POPULATING THE WORKBOOK:</t>
  </si>
  <si>
    <t>Start by opening the worksheet "Input Data"</t>
  </si>
  <si>
    <t xml:space="preserve">Populate all yellow coloured cells.  Arrows, tab- or enter keys or mouse can be used to move around the worksheet (i.e. to cells to which access are possible).  </t>
  </si>
  <si>
    <t>TARGETED PROCUREMENT (Only on Engineering project) (Y/N)</t>
  </si>
  <si>
    <t>AGENT OF THE CLIENT (OHSA) (Only on Engineering project) (Y/N)</t>
  </si>
  <si>
    <r>
      <t xml:space="preserve">The value of the works relating to a particular part of the project will have to include the relevant portions of the </t>
    </r>
    <r>
      <rPr>
        <b/>
        <sz val="10"/>
        <rFont val="Arial"/>
        <family val="2"/>
      </rPr>
      <t>Preliminaries and CPA</t>
    </r>
    <r>
      <rPr>
        <sz val="10"/>
        <rFont val="Arial"/>
        <family val="2"/>
      </rPr>
      <t xml:space="preserve"> extracted from the project value and then allocated to each category value</t>
    </r>
  </si>
  <si>
    <r>
      <t>In practice, the calculator calculates</t>
    </r>
    <r>
      <rPr>
        <b/>
        <sz val="10"/>
        <rFont val="Arial"/>
        <family val="2"/>
      </rPr>
      <t xml:space="preserve"> a Basic fee</t>
    </r>
    <r>
      <rPr>
        <sz val="10"/>
        <rFont val="Arial"/>
        <family val="2"/>
      </rPr>
      <t xml:space="preserve"> for a consultant based on the value of the works relating to that particular discipline</t>
    </r>
  </si>
  <si>
    <r>
      <t xml:space="preserve">The </t>
    </r>
    <r>
      <rPr>
        <b/>
        <sz val="10"/>
        <rFont val="Arial"/>
        <family val="2"/>
      </rPr>
      <t>Basic fee</t>
    </r>
    <r>
      <rPr>
        <sz val="10"/>
        <rFont val="Arial"/>
        <family val="2"/>
      </rPr>
      <t xml:space="preserve"> for a consultant is proportioned between the different categories of work and then the relevant fee factors applied to those types of the work.</t>
    </r>
  </si>
  <si>
    <r>
      <t xml:space="preserve">The </t>
    </r>
    <r>
      <rPr>
        <b/>
        <sz val="10"/>
        <rFont val="Arial"/>
        <family val="2"/>
      </rPr>
      <t>first portion</t>
    </r>
    <r>
      <rPr>
        <sz val="10"/>
        <rFont val="Arial"/>
        <family val="2"/>
      </rPr>
      <t xml:space="preserve"> of the fee calculator contains the amounts relating to a given discipline which have been extracted from a project and which is not subject to any factors. </t>
    </r>
  </si>
  <si>
    <r>
      <t xml:space="preserve">If the project or contract consists entirely of the </t>
    </r>
    <r>
      <rPr>
        <b/>
        <sz val="10"/>
        <rFont val="Arial"/>
        <family val="2"/>
      </rPr>
      <t>work comprising one discipline</t>
    </r>
    <r>
      <rPr>
        <sz val="10"/>
        <rFont val="Arial"/>
        <family val="2"/>
      </rPr>
      <t>, then you use the entire cost of the contract, allocating portions of the value to the relevant categories, otherwise, one must extract from the project values, the value of the works relating to a particular discipline, and then allocate portions of that value to the various categories which will attract different fee factors.</t>
    </r>
  </si>
  <si>
    <t>In some cases more than one of the fee factor multipliers may have to be applied to the same portion of the works, and these factors have to be dealt with separately in the fee calculations.</t>
  </si>
  <si>
    <t>Only in case of engineering projects an amount of 7% of the basic fee is allowed for the execution of targeted procurement.</t>
  </si>
  <si>
    <r>
      <t>Electronic engineering work</t>
    </r>
    <r>
      <rPr>
        <sz val="10"/>
        <rFont val="Arial"/>
        <family val="2"/>
      </rPr>
      <t xml:space="preserve"> is </t>
    </r>
    <r>
      <rPr>
        <b/>
        <sz val="10"/>
        <rFont val="Arial"/>
        <family val="2"/>
      </rPr>
      <t>not a separate discipline</t>
    </r>
    <r>
      <rPr>
        <sz val="10"/>
        <rFont val="Arial"/>
        <family val="2"/>
      </rPr>
      <t xml:space="preserve"> but one combined with Electrical engineering work.</t>
    </r>
  </si>
  <si>
    <r>
      <t xml:space="preserve">Some </t>
    </r>
    <r>
      <rPr>
        <b/>
        <sz val="10"/>
        <rFont val="Arial"/>
        <family val="2"/>
      </rPr>
      <t>comments or notes</t>
    </r>
    <r>
      <rPr>
        <sz val="10"/>
        <rFont val="Arial"/>
        <family val="2"/>
      </rPr>
      <t xml:space="preserve"> with arrows pointing to certain cells are displayed to guide the user, but they will not be printed.</t>
    </r>
  </si>
  <si>
    <t>GROUND RULES</t>
  </si>
  <si>
    <t>COMPANY REGISTRATION NUMBER</t>
  </si>
  <si>
    <t>NOTES PERTAINING TO THE COMPLETION OF THE WORKBOOK.</t>
  </si>
  <si>
    <t>N</t>
  </si>
  <si>
    <t>TELEPHONE &amp; FACSIMILE NUMBERS</t>
  </si>
  <si>
    <t>FEES CODE (YEAR)</t>
  </si>
  <si>
    <t xml:space="preserve">ELECTRICAL/ELECTRONIC ENGINEERING SERVICES </t>
  </si>
  <si>
    <r>
      <t xml:space="preserve">When typing </t>
    </r>
    <r>
      <rPr>
        <b/>
        <sz val="10"/>
        <rFont val="Arial"/>
        <family val="2"/>
      </rPr>
      <t>amounts</t>
    </r>
    <r>
      <rPr>
        <sz val="10"/>
        <rFont val="Arial"/>
        <family val="2"/>
      </rPr>
      <t xml:space="preserve"> only type the value. No "R" in front and no spaces between the numbers.</t>
    </r>
  </si>
  <si>
    <t>POSTAL ADDRESS:</t>
  </si>
  <si>
    <r>
      <t xml:space="preserve">CONSTRUCTION AND COMPLETION STAGE. </t>
    </r>
    <r>
      <rPr>
        <b/>
        <i/>
        <sz val="12"/>
        <color indexed="10"/>
        <rFont val="Arial"/>
        <family val="2"/>
      </rPr>
      <t>ALL VALUES MUST INCLUDE RELEVANT PROPORTION OF P&amp;G AND CPA.</t>
    </r>
  </si>
  <si>
    <t>FEES (d) EXPENSES AND COSTS (DISBURSEMENTS)</t>
  </si>
  <si>
    <t xml:space="preserve">FEES (c )TIME BASED FEES </t>
  </si>
  <si>
    <t xml:space="preserve">BASIC FEE FOR WORK, INCLUDING ITEMS OF THE FIRST STRUCTURE OF A SERIES OF DUPLICATES, NOT AFFECTED BY ANY FACTORS. </t>
  </si>
  <si>
    <t>ALTERATIONS TO EXISTING FACILITIES NOT AFFECTED BY ANY FACTOR OTHER THAN 1.25.</t>
  </si>
  <si>
    <t>BASIC FEE FOR WORK NOT AFFECTED BY ANY FACTORS</t>
  </si>
  <si>
    <t>VALUE OF DUPLICATED EXISTING FACILITIES AFFECTED BY BOTH 1.25 AND 0.25 FACTORS.</t>
  </si>
  <si>
    <r>
      <t xml:space="preserve">PRELIMINARY DESIGN AND DESIGN &amp; TENDER STAGES. </t>
    </r>
    <r>
      <rPr>
        <b/>
        <i/>
        <sz val="12"/>
        <color indexed="10"/>
        <rFont val="Arial"/>
        <family val="2"/>
      </rPr>
      <t>ALL VALUES MUST INCLUDE RELEVANT PROPORTION OF P&amp;G AND CPA DURING CONSTRUCTION STAGE</t>
    </r>
    <r>
      <rPr>
        <b/>
        <i/>
        <sz val="12"/>
        <rFont val="Arial"/>
        <family val="2"/>
      </rPr>
      <t>.</t>
    </r>
  </si>
  <si>
    <t>TOTAL VALUE OF PROJECT COMPLETED BY ALL CONSULTANTS DURING CONSTRUCTION &amp; COMPLETION STAGES INCLUDING P&amp;G's AND CPA.</t>
  </si>
  <si>
    <t>DUPLICATED EXISTING FACILITIES AFFECTED BY BOTH 1.25 &amp; .25 FACTORS.</t>
  </si>
  <si>
    <r>
      <t xml:space="preserve">Engineers deal with work contained in </t>
    </r>
    <r>
      <rPr>
        <b/>
        <sz val="10"/>
        <rFont val="Arial"/>
        <family val="2"/>
      </rPr>
      <t>two main types of projects</t>
    </r>
    <r>
      <rPr>
        <sz val="10"/>
        <rFont val="Arial"/>
        <family val="2"/>
      </rPr>
      <t>: Engineering and Building. Ensure that you select the correct fee calculator for the type of contract you are dealing with. Select only the "Engineering project" as the type of project if no principal agent and/or quantity surveyor is appointed on the project. Quantity surveyors are responsible for all bills of quantities for all disciplines on building projects.</t>
    </r>
  </si>
  <si>
    <r>
      <t xml:space="preserve">The </t>
    </r>
    <r>
      <rPr>
        <b/>
        <sz val="10"/>
        <rFont val="Arial"/>
        <family val="2"/>
      </rPr>
      <t>dates</t>
    </r>
    <r>
      <rPr>
        <sz val="10"/>
        <rFont val="Arial"/>
        <family val="2"/>
      </rPr>
      <t xml:space="preserve"> must be typed in as follows: dmmmyy i.e. "25aug05" </t>
    </r>
  </si>
  <si>
    <t>PRINCIPAL AGENT (Only on Engineering project) (Y/N)</t>
  </si>
  <si>
    <t xml:space="preserve">VALUE OF WORK NOT AFFECTED BY ANY FACTORS. </t>
  </si>
  <si>
    <t>CONSTRUCTION MONITORING ONLY</t>
  </si>
  <si>
    <t>REPORT STAGE (Only if specifically appointed for this stage)</t>
  </si>
  <si>
    <t>ESTIMATES OR TENDER VALUES</t>
  </si>
  <si>
    <t>TOTAL COST OF THE WORKS COMPRISING THE PROJECT, INCLUDING P&amp;G AND CPA</t>
  </si>
  <si>
    <t xml:space="preserve">TOTAL VALUE OF ALL ELECTRICAL WORK COMPLETED INCLUDING CPA &amp; PROPORTION OF P&amp;G </t>
  </si>
  <si>
    <t xml:space="preserve">TOTAL VALUE OF ALL ELECTRICAL WORK INCLUDING CPA &amp; PROPORTION OF P&amp;G </t>
  </si>
  <si>
    <t>ATTACHED TO CLAIM NO</t>
  </si>
  <si>
    <t>1</t>
  </si>
  <si>
    <t>CARRIED OVER</t>
  </si>
  <si>
    <t>38</t>
  </si>
  <si>
    <t xml:space="preserve">CONSTRUCTION MONITORING  &amp; OTHER </t>
  </si>
  <si>
    <t>Toll Gate</t>
  </si>
  <si>
    <t>INPUT ALL INFORMATION FOR THE WHOLE PROJECT</t>
  </si>
  <si>
    <t>NOTE: ALL ITEMS MUST EXCLUDE VAT</t>
  </si>
  <si>
    <t xml:space="preserve">Report: Time Based fees </t>
  </si>
  <si>
    <t>PERCENTAGE OF FEE TENDERED</t>
  </si>
  <si>
    <t>TENDERED PERCENTAGE OF STANDARD FEES</t>
  </si>
  <si>
    <t>DUE</t>
  </si>
  <si>
    <t>(Not applicable in case of a tender for professional services)</t>
  </si>
  <si>
    <t>DRAWING NUMBER</t>
  </si>
  <si>
    <r>
      <t xml:space="preserve">One has to refer to the </t>
    </r>
    <r>
      <rPr>
        <b/>
        <sz val="10"/>
        <rFont val="Arial"/>
        <family val="2"/>
      </rPr>
      <t xml:space="preserve"> Letter of Invitation </t>
    </r>
    <r>
      <rPr>
        <sz val="10"/>
        <rFont val="Arial"/>
        <family val="2"/>
      </rPr>
      <t xml:space="preserve">and the relevant published </t>
    </r>
    <r>
      <rPr>
        <b/>
        <sz val="10"/>
        <rFont val="Arial"/>
        <family val="2"/>
      </rPr>
      <t>Guidelines</t>
    </r>
    <r>
      <rPr>
        <sz val="10"/>
        <rFont val="Arial"/>
        <family val="2"/>
      </rPr>
      <t xml:space="preserve"> for Engineering fees as amended</t>
    </r>
    <r>
      <rPr>
        <b/>
        <sz val="10"/>
        <rFont val="Arial"/>
        <family val="2"/>
      </rPr>
      <t xml:space="preserve"> </t>
    </r>
    <r>
      <rPr>
        <sz val="10"/>
        <rFont val="Arial"/>
        <family val="2"/>
      </rPr>
      <t xml:space="preserve">, and use a copy of the relevant Guidelines which has been marked up to show the revised Fee scale to ensure that the correct fee scale is used. </t>
    </r>
  </si>
  <si>
    <t>Finally open the relevant "invoice" worksheet, go to the "File" command on toolbar, choose "Print"  - this will print the final invoice. Do the same with the other data sheets which are then required to be appended to the invoice to be presented to the  Project manager.</t>
  </si>
  <si>
    <t>This workbook makes provision for 36 payments.  From experience this should be enough.  If not, the matter must be reported to the Firm, who can take same up with the designer/compiler of the workbook.</t>
  </si>
  <si>
    <r>
      <t>Principal Agent</t>
    </r>
    <r>
      <rPr>
        <sz val="10"/>
        <rFont val="Arial"/>
        <family val="2"/>
      </rPr>
      <t xml:space="preserve">: A </t>
    </r>
    <r>
      <rPr>
        <b/>
        <sz val="10"/>
        <rFont val="Arial"/>
        <family val="2"/>
      </rPr>
      <t>separate fee</t>
    </r>
    <r>
      <rPr>
        <sz val="10"/>
        <rFont val="Arial"/>
        <family val="2"/>
      </rPr>
      <t xml:space="preserve"> will be calculated for such an appointment, because the fee is based on the value of the works (1% of the total value of the works). This procedure is NOT a fee factor multiplier to be applied to the basic fee. </t>
    </r>
    <r>
      <rPr>
        <b/>
        <sz val="10"/>
        <rFont val="Arial"/>
        <family val="2"/>
      </rPr>
      <t>N/A</t>
    </r>
  </si>
  <si>
    <t>Only in case of engineering projects an amount not exceeding 6% of the basic fee and calculated on a time basis is allowed for the responsibilities of the "agent of the client" in accordance with the OHSA. Only if the motivation of the consulting engineer for a larger fee is approved, may he be paid more.</t>
  </si>
  <si>
    <t>POSTAL ADDRESS</t>
  </si>
  <si>
    <t>POST OFFICE</t>
  </si>
  <si>
    <t>POSTAL CODE</t>
  </si>
  <si>
    <t>E-Mail</t>
  </si>
  <si>
    <t>CLIENT</t>
  </si>
  <si>
    <t>TEL NO</t>
  </si>
  <si>
    <t>FAX NO</t>
  </si>
  <si>
    <t>FAX-TO-EMAIL</t>
  </si>
  <si>
    <t>E-MAIL</t>
  </si>
  <si>
    <t>CALCULATION OF BASIC FEE</t>
  </si>
  <si>
    <t>VAT REGISTRATION NO</t>
  </si>
  <si>
    <t>FILE NUMBER:</t>
  </si>
  <si>
    <t>TEL</t>
  </si>
  <si>
    <t xml:space="preserve"> Report: Time Based fees </t>
  </si>
  <si>
    <t>Time Based fees: Other</t>
  </si>
  <si>
    <t>E-MAIL ADDRESS</t>
  </si>
  <si>
    <t>FAX</t>
  </si>
  <si>
    <t xml:space="preserve">PROJECT MAN.: </t>
  </si>
  <si>
    <t>TOWN/CITY</t>
  </si>
  <si>
    <t>STREET &amp; NO</t>
  </si>
  <si>
    <t>CODE</t>
  </si>
  <si>
    <t>CELL PHONE NO</t>
  </si>
  <si>
    <t>TOWN</t>
  </si>
  <si>
    <t>DRAWING NO:</t>
  </si>
  <si>
    <t>CELL:</t>
  </si>
  <si>
    <t>CELL</t>
  </si>
  <si>
    <t>INVOICE NO:</t>
  </si>
  <si>
    <t>+ (</t>
  </si>
  <si>
    <t>)=</t>
  </si>
  <si>
    <t>(</t>
  </si>
  <si>
    <t>}=</t>
  </si>
  <si>
    <t>If(STAGE COMPLETED:</t>
  </si>
  <si>
    <t>FACTOR</t>
  </si>
  <si>
    <t>DPW PROJECT MANAGER</t>
  </si>
  <si>
    <t>DPW FILE NUMBER:</t>
  </si>
  <si>
    <t>NATIONAL DEPARTMENT OF PUBLIC WORKS</t>
  </si>
  <si>
    <t>WCS  NO.</t>
  </si>
  <si>
    <t>WORKBOOK FOR THE CALCULATION OF CONSULTING ENGINEER'S FEES IN TERMS OF THE GUIDELINE FOR SERVICES AND FEES PUBLISHED BY ECSA AS AMENDED BY NDPW</t>
  </si>
  <si>
    <t>EE10</t>
  </si>
  <si>
    <t>WCS NO.</t>
  </si>
  <si>
    <t>WCS NO</t>
  </si>
  <si>
    <t>WCS NO:</t>
  </si>
  <si>
    <t>WCS NO..</t>
  </si>
  <si>
    <t>CONSULTANT</t>
  </si>
  <si>
    <t>TARGETED/PREFERENTIAL PROCUREMENT</t>
  </si>
  <si>
    <t>TOTAL CLAIM</t>
  </si>
  <si>
    <t>FEES (a) INCEPTION, DESIGN &amp; TENDER STAGES.</t>
  </si>
  <si>
    <t>FEES (b) CONSTRUCTION AND CLOSE-OUT</t>
  </si>
  <si>
    <t>TOTAL FEES FOR INCEPTION, DESIGN &amp; TENDER STAGE (a)</t>
  </si>
  <si>
    <t>TOTAL FOR CONSTRUCTION AND CLOSE-OUT STAGE (b)</t>
  </si>
  <si>
    <t>TOTAL FEES (EXCL VAT)</t>
  </si>
  <si>
    <t>WCS CONTRACT NO</t>
  </si>
  <si>
    <t>%</t>
  </si>
  <si>
    <t>SIGNATURE:</t>
  </si>
  <si>
    <t>DATE:</t>
  </si>
  <si>
    <t xml:space="preserve"> </t>
  </si>
  <si>
    <t>for OFFICE use only:</t>
  </si>
  <si>
    <t>ACCOUNTANT:</t>
  </si>
  <si>
    <t>CERTIFIED CORRECT:</t>
  </si>
  <si>
    <t>DIRECTOR:</t>
  </si>
  <si>
    <t>Budget</t>
  </si>
  <si>
    <t>Payment categories</t>
  </si>
  <si>
    <t>Payments</t>
  </si>
  <si>
    <t>Calculated fees, Other fees &amp; Add Services</t>
  </si>
  <si>
    <t>Time Based Fees</t>
  </si>
  <si>
    <t>Travelling, transport, etc</t>
  </si>
  <si>
    <t>Typing, duplicating, etc</t>
  </si>
  <si>
    <t>Site Staff &amp; Other charges</t>
  </si>
  <si>
    <t>VAT</t>
  </si>
  <si>
    <t>Non-Taxable</t>
  </si>
  <si>
    <t xml:space="preserve">Total   R  c   </t>
  </si>
  <si>
    <t>Previous</t>
  </si>
  <si>
    <t>Current</t>
  </si>
  <si>
    <t>Gross</t>
  </si>
  <si>
    <t>TOTAL DISBURSEMENTS (d)</t>
  </si>
  <si>
    <t>CALCULATIONS</t>
  </si>
  <si>
    <t>PAGE 2</t>
  </si>
  <si>
    <t>ELECTRICAL/ELECTRONIC ENGINEERING SERVICES</t>
  </si>
  <si>
    <t xml:space="preserve">ELECTRICAL/ELECTRONIC ENGINEERING SERVICES: </t>
  </si>
  <si>
    <t>FROM:</t>
  </si>
  <si>
    <t>ESTIMATES</t>
  </si>
  <si>
    <t>TOTAL VALUE OF ALL ALTERATIONS TO EXISTING FACILITIES COMPLETED NOT AFFECTED BY ANY FACTOR OTHER THAN 1.25.</t>
  </si>
  <si>
    <t>TOTAL VALUE OF  NEW WORK NOT AFFECTED BY ANY FACTORS</t>
  </si>
  <si>
    <t>FEE FOR NEW WORK NOT AFFECTED BY ANY FACTORS</t>
  </si>
  <si>
    <t xml:space="preserve">FEE FOR NEW WORK,  NOT AFFECTED BY ANY FACTORS. </t>
  </si>
  <si>
    <t xml:space="preserve"> FEE FOR NEW WORK NOT AFFECTED BY ANY FACTORS</t>
  </si>
  <si>
    <t>OFFICE ADDRESS</t>
  </si>
  <si>
    <t>CONSULTANT OFFICE ADDRESS</t>
  </si>
  <si>
    <t>CONSULTANT REF NO:</t>
  </si>
  <si>
    <t>PAGE II</t>
  </si>
  <si>
    <t>BILL OF QUANTITY BY CONSULTING ENGINEER - NO QUANTITY SURVEYOR APPOINTED (Y/N)</t>
  </si>
  <si>
    <t>CONSULTANT'S REF. NUMBER:</t>
  </si>
  <si>
    <t>PM TEL</t>
  </si>
  <si>
    <r>
      <t xml:space="preserve">(C) VALUE OF COMPLETED WORK </t>
    </r>
    <r>
      <rPr>
        <b/>
        <sz val="11"/>
        <color indexed="10"/>
        <rFont val="Arial"/>
        <family val="2"/>
      </rPr>
      <t>(STAGE 4 &amp; 5)</t>
    </r>
  </si>
  <si>
    <r>
      <t xml:space="preserve">(A) ESTIMATED OR TENDER VALUES </t>
    </r>
    <r>
      <rPr>
        <b/>
        <sz val="11"/>
        <color indexed="10"/>
        <rFont val="Arial"/>
        <family val="2"/>
      </rPr>
      <t>(STAGES 1 -3)</t>
    </r>
  </si>
  <si>
    <r>
      <t xml:space="preserve">(B) ESTIMATED VALUE FOR DESIGN FEES DURING CONSTRUCTION </t>
    </r>
    <r>
      <rPr>
        <b/>
        <sz val="11"/>
        <color indexed="10"/>
        <rFont val="Arial"/>
        <family val="2"/>
      </rPr>
      <t>(STAGE 4)</t>
    </r>
  </si>
  <si>
    <r>
      <t xml:space="preserve">(D) FINAL MEASURED VALUES INCL. CPA &amp; P&amp;G </t>
    </r>
    <r>
      <rPr>
        <b/>
        <sz val="11"/>
        <color indexed="10"/>
        <rFont val="Arial"/>
        <family val="2"/>
      </rPr>
      <t>(STAGE 5 ONLY)</t>
    </r>
  </si>
  <si>
    <t>A6089/002/9</t>
  </si>
  <si>
    <t>NELSPRUIT: New Police Station</t>
  </si>
  <si>
    <t>John Engineer CC</t>
  </si>
  <si>
    <t>P O Box 11111, Boksburg</t>
  </si>
  <si>
    <t>Brightstar building 214, Peach str 1023, Boksburg</t>
  </si>
  <si>
    <t>011 769 3011</t>
  </si>
  <si>
    <t>011 769 3456</t>
  </si>
  <si>
    <t>082 344 6756</t>
  </si>
  <si>
    <t>je@telkom.net</t>
  </si>
  <si>
    <t>1245603865</t>
  </si>
  <si>
    <t>400-45678-10</t>
  </si>
  <si>
    <t>EE 56789/001/6</t>
  </si>
  <si>
    <t>Private Bag X65</t>
  </si>
  <si>
    <t>PRETORIA</t>
  </si>
  <si>
    <t>0001</t>
  </si>
  <si>
    <t>Public Works House</t>
  </si>
  <si>
    <t>Pretorius Street 445</t>
  </si>
  <si>
    <t>0002</t>
  </si>
  <si>
    <t>012 337 2000</t>
  </si>
  <si>
    <t>012 337 3276</t>
  </si>
  <si>
    <t>086 666 0000</t>
  </si>
  <si>
    <t>ServiceDPW567/102</t>
  </si>
  <si>
    <t>DPW/001</t>
  </si>
  <si>
    <r>
      <t xml:space="preserve">  </t>
    </r>
    <r>
      <rPr>
        <b/>
        <u/>
        <sz val="16"/>
        <rFont val="Arial"/>
        <family val="2"/>
      </rPr>
      <t xml:space="preserve"> TO</t>
    </r>
  </si>
  <si>
    <t>NOT REGISTERED</t>
  </si>
  <si>
    <t>012 337 2345</t>
  </si>
  <si>
    <t>082 699 3459</t>
  </si>
  <si>
    <t>086 610 0300</t>
  </si>
  <si>
    <t>Paul Mashinga</t>
  </si>
  <si>
    <t>paul.mashinga@dpw.gov.za</t>
  </si>
  <si>
    <t>FAX 2</t>
  </si>
  <si>
    <t>CONSULTING ENG.</t>
  </si>
  <si>
    <t>CONSULTINGENG.</t>
  </si>
  <si>
    <t>CONSULTANT's  REF</t>
  </si>
  <si>
    <t xml:space="preserve">  TO:  </t>
  </si>
  <si>
    <r>
      <t>INCEPTION, PRELIMINARY DESIGN: CONCEPT AND VIABILITY &amp; DETAIL DESIGN &amp; DOCUMENTATION AND PROCUREMENT.</t>
    </r>
    <r>
      <rPr>
        <b/>
        <i/>
        <sz val="12"/>
        <color indexed="10"/>
        <rFont val="Arial"/>
        <family val="2"/>
      </rPr>
      <t xml:space="preserve"> ALL VALUES MUST INCLUDE RELEVANT PROPORTION OF P&amp;G AND CPA DURING CONSTRUCTION STAGE.</t>
    </r>
  </si>
  <si>
    <r>
      <t xml:space="preserve">CONTRACT ADMINISTRATION AND INSPECTION &amp; CLOSE-OUT. </t>
    </r>
    <r>
      <rPr>
        <b/>
        <i/>
        <sz val="12"/>
        <color indexed="10"/>
        <rFont val="Arial"/>
        <family val="2"/>
      </rPr>
      <t>ALL VALUES MUST INCLUDE RELEVANT PROPORTION OF P&amp;G AND CPA.</t>
    </r>
  </si>
  <si>
    <t>CLOSE-OUT</t>
  </si>
  <si>
    <t/>
  </si>
  <si>
    <t>PERCENTAGE BASED FEES</t>
  </si>
  <si>
    <t>STAGE COMPLETED</t>
  </si>
  <si>
    <t>FACSIMILE  NO:</t>
  </si>
  <si>
    <t>Open the disbursement worksheets one by one and populate them with the correct information. Please note that the amounts previously claimed for disbursements must be added by hand at the end of each table. The total previous payment must also be added by hand on the "Previous Payment" worksheet.</t>
  </si>
  <si>
    <t>TOTAL AMOUNT PAID, (Incl VAT &amp; Non Taxable)</t>
  </si>
  <si>
    <t>TOTAL AMOUNT PAID, (Excl  VAT, Excl Non Taxable)</t>
  </si>
  <si>
    <t>TOTAL NON-TAXABLE AMOUNT PAID</t>
  </si>
  <si>
    <t>TOTAL AMOUNT PAID (Excl VAT)</t>
  </si>
  <si>
    <t>Total Previous Payments  Received for this item</t>
  </si>
  <si>
    <t>Non-taxable Expenses Total for this invoice</t>
  </si>
  <si>
    <t>CONSULTING ENGINEER</t>
  </si>
  <si>
    <t>NAME: __________________________________________</t>
  </si>
  <si>
    <t>COMMENTS</t>
  </si>
  <si>
    <t>TOTAL FEES TIME BASED (c)</t>
  </si>
  <si>
    <t>TOTAL FEES TIME BASED (C)</t>
  </si>
  <si>
    <t>Rate (R)</t>
  </si>
  <si>
    <t>Tariff (R)</t>
  </si>
  <si>
    <t>Approved rate (R)</t>
  </si>
  <si>
    <t>APPORTIONMENT OF THE DESIGN STAGE</t>
  </si>
  <si>
    <t xml:space="preserve">Stage </t>
  </si>
  <si>
    <t>Description</t>
  </si>
  <si>
    <t>Apportionment</t>
  </si>
  <si>
    <t>Progress</t>
  </si>
  <si>
    <t>Factor</t>
  </si>
  <si>
    <t>Stage 1</t>
  </si>
  <si>
    <t>Inception</t>
  </si>
  <si>
    <t>Stage 2</t>
  </si>
  <si>
    <t>Preliminary Design: Concept and Viability</t>
  </si>
  <si>
    <t>Stage 3</t>
  </si>
  <si>
    <t>Detail Design &amp; Documentation and Procurement</t>
  </si>
  <si>
    <t>Contract Administration and Inspection</t>
  </si>
  <si>
    <t>Close-Out</t>
  </si>
  <si>
    <t>PENALTY APPLIED</t>
  </si>
  <si>
    <t>PERCENTAGE OF STAGE COMPLETED</t>
  </si>
  <si>
    <t>LESS PENALTY</t>
  </si>
  <si>
    <t>N/A for INCEPTION, CONTRACT ADMINISTRATION &amp; CLOSE-OUT STAGE</t>
  </si>
  <si>
    <t>2012 FEE SCALES</t>
  </si>
  <si>
    <t>SCALE_2012EE</t>
  </si>
  <si>
    <t>SCALE_2012EB</t>
  </si>
  <si>
    <t xml:space="preserve">Input the dates in the following format: "ddmmmyy" (13sep11). </t>
  </si>
  <si>
    <t>The sheets and formula fields in the calculators are protected so that one should just be able to enter the data and assume that the results are correct</t>
  </si>
  <si>
    <t>Project managers are advised to re-enter the data (at least for the Schedules) into their personal copies of the spreadsheets to check the fee accounts, because the calculators used by other person might have been changed inadvertently!</t>
  </si>
  <si>
    <t>For any information, clarification or assistance please phone Ms Magda van Es at 012 452 0446 or 082 887 1705 - E-mail magda@virtualconsulting.co.za or Charles Beaurain @ 0823907612/0125676957</t>
  </si>
  <si>
    <t>XYZ</t>
  </si>
  <si>
    <t>MULTIDISCIPLINARY PROJECT</t>
  </si>
  <si>
    <t>ELECTRICAL MULTIDISCIPLINARY PROJECT</t>
  </si>
  <si>
    <t>Fee in accordance with the National Department of Public Works Scope of Engineering Services and Tariff of Fees for Persons Registered in terms of the Engineering Profession Act, 2000 (Act No. 46 of 2000) dated 1 January 2012</t>
  </si>
  <si>
    <t>ESTIMATED ENGINEERING FEES</t>
  </si>
  <si>
    <t>ANNEXURE A3</t>
  </si>
  <si>
    <t>SUMMARY  OF  FEE  ACCOUNT</t>
  </si>
  <si>
    <t>CLAIM No  :</t>
  </si>
  <si>
    <t>:</t>
  </si>
  <si>
    <t xml:space="preserve"> Name of Service</t>
  </si>
  <si>
    <t>WCS</t>
  </si>
  <si>
    <t xml:space="preserve"> Name of Consultant Firm</t>
  </si>
  <si>
    <t xml:space="preserve"> Address of Consultant Firm</t>
  </si>
  <si>
    <t>PC</t>
  </si>
  <si>
    <t xml:space="preserve"> Departmental File Ref</t>
  </si>
  <si>
    <t xml:space="preserve"> VAT Registration No.</t>
  </si>
  <si>
    <t>Tax Invoice No.</t>
  </si>
  <si>
    <t xml:space="preserve"> 1. PROFESSIONAL FEES</t>
  </si>
  <si>
    <t>Total (No VAT)</t>
  </si>
  <si>
    <t>SCHEDULE</t>
  </si>
  <si>
    <t xml:space="preserve"> Tariff of Fees</t>
  </si>
  <si>
    <t>Percentage based fees</t>
  </si>
  <si>
    <t>(From Tax Invoice)</t>
  </si>
  <si>
    <t>Less Penalty Applied</t>
  </si>
  <si>
    <t>Cumulative to date Amount</t>
  </si>
  <si>
    <t>This Claim Amount</t>
  </si>
  <si>
    <t>V</t>
  </si>
  <si>
    <t xml:space="preserve"> Time Basis Fee</t>
  </si>
  <si>
    <t>Agent of the Client (OHSA)</t>
  </si>
  <si>
    <t>Report Fee</t>
  </si>
  <si>
    <t>Construction Monitoring (If applicable)</t>
  </si>
  <si>
    <t>Other  -  Specify</t>
  </si>
  <si>
    <t xml:space="preserve"> Less  :</t>
  </si>
  <si>
    <t>Report Fee now Included in Tariff</t>
  </si>
  <si>
    <t xml:space="preserve"> TOTAL TIME BASIS FEE THIS CLAIM:</t>
  </si>
  <si>
    <t>Disbursements</t>
  </si>
  <si>
    <t xml:space="preserve"> 2.  DISBURSEMENTS</t>
  </si>
  <si>
    <t>W</t>
  </si>
  <si>
    <t xml:space="preserve"> Subsistence &amp; Travelling</t>
  </si>
  <si>
    <t>X</t>
  </si>
  <si>
    <t xml:space="preserve"> Typing, Duplicating, binding &amp; Printing</t>
  </si>
  <si>
    <t>TOTAL DISBURSEMENTS THIS CLAIM:</t>
  </si>
  <si>
    <t>3.  SITE STAFF, SURVEYS &amp; TESTS</t>
  </si>
  <si>
    <t>Site Staff, Tests &amp; Other</t>
  </si>
  <si>
    <t>Y</t>
  </si>
  <si>
    <t>Site Staff</t>
  </si>
  <si>
    <t>Survey,  &amp; Soil Testing</t>
  </si>
  <si>
    <t>TOTAL SITE STAFF, TESTS &amp; OTHER THIS CLAIM:</t>
  </si>
  <si>
    <t>Z</t>
  </si>
  <si>
    <t>Plus: Airport TAX &amp; other TAX : no VAT Claimable:</t>
  </si>
  <si>
    <t>TOTAL EXPENSES TO DATE:</t>
  </si>
  <si>
    <t xml:space="preserve"> TOTAL</t>
  </si>
  <si>
    <t xml:space="preserve"> Plus :</t>
  </si>
  <si>
    <t>VAT  x</t>
  </si>
  <si>
    <t>PLUS NON VAT ITEMS</t>
  </si>
  <si>
    <t xml:space="preserve"> AMOUNT OF THIS CLAIM  No  :</t>
  </si>
  <si>
    <t>NOTE: COMPLETE ONLY THE APPROPRIATE SECTIONS</t>
  </si>
  <si>
    <t xml:space="preserve">TRIP SHEET: SUBSISTENCE  &amp;  TRAVELLING  COSTS: </t>
  </si>
  <si>
    <t>ANNEXURE A5</t>
  </si>
  <si>
    <t>(Refer to Letter of Appointment) (Excluding Site Staff)</t>
  </si>
  <si>
    <t xml:space="preserve">Sheet   </t>
  </si>
  <si>
    <t xml:space="preserve"> Attached to Claim No</t>
  </si>
  <si>
    <t xml:space="preserve">        Trip No :</t>
  </si>
  <si>
    <t>WCS No:</t>
  </si>
  <si>
    <t>Dated :</t>
  </si>
  <si>
    <t>Purpose of Journey</t>
  </si>
  <si>
    <t xml:space="preserve">Staff Member </t>
  </si>
  <si>
    <t xml:space="preserve"> TRIP DETAILS</t>
  </si>
  <si>
    <t>* Away from Office only applicable for more than 24 hours only</t>
  </si>
  <si>
    <t>A.  AIR TRAVEL TRIP DETAILS</t>
  </si>
  <si>
    <t>First desti-</t>
  </si>
  <si>
    <t>Travel</t>
  </si>
  <si>
    <t xml:space="preserve">  (Applicable for Air travel)</t>
  </si>
  <si>
    <t>Second</t>
  </si>
  <si>
    <t>Arrival time</t>
  </si>
  <si>
    <t>Depart time</t>
  </si>
  <si>
    <t>Depart from</t>
  </si>
  <si>
    <t xml:space="preserve">    nation</t>
  </si>
  <si>
    <t>time to</t>
  </si>
  <si>
    <t>**Airport</t>
  </si>
  <si>
    <t>Duration</t>
  </si>
  <si>
    <t>Tvl time</t>
  </si>
  <si>
    <t>Desti-</t>
  </si>
  <si>
    <t>at second</t>
  </si>
  <si>
    <t>Office/home</t>
  </si>
  <si>
    <t>Airport</t>
  </si>
  <si>
    <t>1st des</t>
  </si>
  <si>
    <t>Time</t>
  </si>
  <si>
    <t>of Flight</t>
  </si>
  <si>
    <t>2nd des</t>
  </si>
  <si>
    <t>nation</t>
  </si>
  <si>
    <t>destination</t>
  </si>
  <si>
    <t>Outward</t>
  </si>
  <si>
    <t>Return</t>
  </si>
  <si>
    <t>(a)</t>
  </si>
  <si>
    <t>(b)</t>
  </si>
  <si>
    <t>(c)</t>
  </si>
  <si>
    <t>(d)</t>
  </si>
  <si>
    <t>** Air travel: travel time on ticket ± 1.5 hours allowed</t>
  </si>
  <si>
    <t>Total Travelling Time (a) + (b) + (c) + (d)</t>
  </si>
  <si>
    <t>over and above flight travel time.</t>
  </si>
  <si>
    <t>Days</t>
  </si>
  <si>
    <t>(± 1 hour booking in and  ± 0.5 hour collecting Luggage)</t>
  </si>
  <si>
    <t>*Away from office</t>
  </si>
  <si>
    <t xml:space="preserve"> B.  MOTOR VEHICLE TRIP DETAILS</t>
  </si>
  <si>
    <t>Outward  Journey</t>
  </si>
  <si>
    <t>Return Journey</t>
  </si>
  <si>
    <t>Travel-</t>
  </si>
  <si>
    <t>Departure</t>
  </si>
  <si>
    <t>Arrival</t>
  </si>
  <si>
    <t xml:space="preserve">      Departure</t>
  </si>
  <si>
    <t xml:space="preserve">        Arrival</t>
  </si>
  <si>
    <t>ling</t>
  </si>
  <si>
    <t>hours</t>
  </si>
  <si>
    <t>Totals</t>
  </si>
  <si>
    <t>1.  SUBSISTENCE AND TRAVELLING TIME CHARGES</t>
  </si>
  <si>
    <t xml:space="preserve"> Subsistence charges/Special daily allowance *</t>
  </si>
  <si>
    <t>2.  TRAVELLING TIME CHARGES</t>
  </si>
  <si>
    <t>Time Away</t>
  </si>
  <si>
    <t>Subsistence</t>
  </si>
  <si>
    <t xml:space="preserve">   Amount </t>
  </si>
  <si>
    <t>Distance  to  Destination         ±</t>
  </si>
  <si>
    <t>km</t>
  </si>
  <si>
    <t xml:space="preserve">     Hours</t>
  </si>
  <si>
    <t>Claimed</t>
  </si>
  <si>
    <t>Travelling time less 2 hours per return trip</t>
  </si>
  <si>
    <t>/d</t>
  </si>
  <si>
    <t xml:space="preserve"> less</t>
  </si>
  <si>
    <t xml:space="preserve">Travel </t>
  </si>
  <si>
    <t xml:space="preserve">Amount </t>
  </si>
  <si>
    <t>Spec Allow</t>
  </si>
  <si>
    <t>hrs Tvl</t>
  </si>
  <si>
    <t>Trips</t>
  </si>
  <si>
    <t>2hrs/trip</t>
  </si>
  <si>
    <t>hrs</t>
  </si>
  <si>
    <t>/hr</t>
  </si>
  <si>
    <t>Trip</t>
  </si>
  <si>
    <t>1. Total</t>
  </si>
  <si>
    <t xml:space="preserve"> 2. Total</t>
  </si>
  <si>
    <t>3.  MOTOR VEHICLE CHARGES</t>
  </si>
  <si>
    <t xml:space="preserve">  Outward</t>
  </si>
  <si>
    <t xml:space="preserve">     Return</t>
  </si>
  <si>
    <t>Capac.</t>
  </si>
  <si>
    <t>Journey</t>
  </si>
  <si>
    <t>Site</t>
  </si>
  <si>
    <t>cc</t>
  </si>
  <si>
    <t>Cents</t>
  </si>
  <si>
    <t>Charge</t>
  </si>
  <si>
    <t>VAT Excl</t>
  </si>
  <si>
    <t>Pretoria</t>
  </si>
  <si>
    <t>Polokwane</t>
  </si>
  <si>
    <t>Sedan</t>
  </si>
  <si>
    <t>Petrol</t>
  </si>
  <si>
    <t>3. Total</t>
  </si>
  <si>
    <t>4. ACCOMMODATION</t>
  </si>
  <si>
    <t>City/Town</t>
  </si>
  <si>
    <t>Name of Supplier</t>
  </si>
  <si>
    <t>5.  PUBLIC TRANSPORT CHARGES</t>
  </si>
  <si>
    <t>Car Hire   :   Company</t>
  </si>
  <si>
    <t>6.  Flight Numbers</t>
  </si>
  <si>
    <t>Cost of</t>
  </si>
  <si>
    <t xml:space="preserve">                                                                                                                                                                                                                                                                                                                                                                                                                                                                                                </t>
  </si>
  <si>
    <t xml:space="preserve">      Return  Journey</t>
  </si>
  <si>
    <t>Ticket(s)</t>
  </si>
  <si>
    <t>5 (a)</t>
  </si>
  <si>
    <t>Plus  :</t>
  </si>
  <si>
    <t>Airport Tax</t>
  </si>
  <si>
    <t xml:space="preserve">   (No VAT Claimable)</t>
  </si>
  <si>
    <t>5 (b)</t>
  </si>
  <si>
    <t>TOTAL : Airport Tax (No VAT)</t>
  </si>
  <si>
    <t>TOTALS  1 - 5  (Carried : Annex A5(A))</t>
  </si>
  <si>
    <t xml:space="preserve">* </t>
  </si>
  <si>
    <t>Only actual costs are payable in respect of absence from office of less than 24 hours. (Attach invoices)</t>
  </si>
  <si>
    <t>Should the daily tariff as set out in Table 4 be inadequate, substantiated actual costs plus a special daily allowance as shown in Table 5 for incidental expenses, may be claimed.  Please note that you may only claim according to Table 4 or Table 5.  (In case of Table 5 - submit invoices) Accommodation should be limited to the equivalent of a three star hotel and no alcoholic beverages or entertainment costs may be claimed for.</t>
  </si>
  <si>
    <t>PLEASE READ THE NOTES (1st SHEET) BEFORE STARTING TO POPULATE THE SHEETS. COMPLETE ALL YELLOW CELLS PLEASE !!!</t>
  </si>
  <si>
    <t>THE FEE ACCOUNT</t>
  </si>
  <si>
    <t>Covering letter and TAX invoice  - must be signed by a Principal/Director of the Consultant Firm</t>
  </si>
  <si>
    <t>Summary of the Fee Claim: Annexure A3</t>
  </si>
  <si>
    <t>Trip sheet: Annexure A5: Claims for Subsistence and Travelling. This form shall be completed by the person during each trip.</t>
  </si>
  <si>
    <t>A copy of the Appointment letter from the Client must be attached to the first fee account.</t>
  </si>
  <si>
    <t xml:space="preserve">(e) </t>
  </si>
  <si>
    <t>The completed Site Staff request and approval (PRM033: ) must be attached to each account when costs for Site Staff is claimed</t>
  </si>
  <si>
    <t xml:space="preserve">(f) </t>
  </si>
  <si>
    <t>The Record Drawings/As-Build's, must be attached to the final fee account as well as all drawings issued during the contract</t>
  </si>
  <si>
    <t>No fee account shall be submitted to the DPW Project Manager without all the relevant information and the documents as listed below attached and of which examples and forms, form part this document :</t>
  </si>
  <si>
    <t>ESTIMATED TOTAL ENGINEERING FEES</t>
  </si>
  <si>
    <t>YES</t>
  </si>
  <si>
    <t>ENGINEERING PROJECT</t>
  </si>
  <si>
    <t>Claim No</t>
  </si>
  <si>
    <t>Claim No:</t>
  </si>
  <si>
    <t>Cumulative Typing Total</t>
  </si>
  <si>
    <t>Previously claimed</t>
  </si>
  <si>
    <t>Cumulative Duplicating Total</t>
  </si>
  <si>
    <t>Cumulative Covers &amp; Binders Total</t>
  </si>
  <si>
    <t>Cumulative Printing Total</t>
  </si>
  <si>
    <t>Cumulative Typing Duplicating &amp; Printing costs Excl VAT</t>
  </si>
  <si>
    <t>SCHEDULE W: SUBSISTENCE &amp; TRAVELLING EXPENSES</t>
  </si>
  <si>
    <t>(Import information from Trip Sheet Form A5)</t>
  </si>
  <si>
    <t>1. Travelling Time</t>
  </si>
  <si>
    <t>A. By private car</t>
  </si>
  <si>
    <t>Trip No</t>
  </si>
  <si>
    <t>Hours claimed*</t>
  </si>
  <si>
    <t>Cumulative Travelling Time claim Excl. VAT</t>
  </si>
  <si>
    <t>B. **By Airways - Including time travelled by own or hired car or shuttle. Attach all air ticket receipts and other relevant documents</t>
  </si>
  <si>
    <t>OUTWARD JOURNEY</t>
  </si>
  <si>
    <t>RETURN JOURNEY</t>
  </si>
  <si>
    <t>Travelling time (hrs.)</t>
  </si>
  <si>
    <t>Trip No.</t>
  </si>
  <si>
    <t>First destination</t>
  </si>
  <si>
    <t>Second Destination</t>
  </si>
  <si>
    <t>Arrival date &amp; time at second destination</t>
  </si>
  <si>
    <t>Date &amp; Time</t>
  </si>
  <si>
    <t>Home</t>
  </si>
  <si>
    <t>OR Tambo</t>
  </si>
  <si>
    <t>CPT RM</t>
  </si>
  <si>
    <t>CPT Airport</t>
  </si>
  <si>
    <t>Cumulative Travelling Time for air travel claim Excl. VAT</t>
  </si>
  <si>
    <t>Cumulative Total Travelling Time Excl. VAT</t>
  </si>
  <si>
    <t>Total Previously claimed</t>
  </si>
  <si>
    <t>Total this claim</t>
  </si>
  <si>
    <t>2. Motor Vehicle Expenses [Up to 3000 cc engine capacity]</t>
  </si>
  <si>
    <t>Toyota</t>
  </si>
  <si>
    <t>From</t>
  </si>
  <si>
    <t>Destination</t>
  </si>
  <si>
    <t>Parking Charges</t>
  </si>
  <si>
    <t>Toll Gates</t>
  </si>
  <si>
    <t>Rate/km ( R)</t>
  </si>
  <si>
    <t>Cumulative Motor Vehicle Expenses Excl. VAT</t>
  </si>
  <si>
    <t>3. Subsistence Charges [See your letter of appointment. Use either Table 4 or Table 5, not both]</t>
  </si>
  <si>
    <t>City / Town</t>
  </si>
  <si>
    <t xml:space="preserve">Total Hours </t>
  </si>
  <si>
    <t>Cumulative Subsistence Charges  Excl. VAT</t>
  </si>
  <si>
    <t>4. Other Transport/Air/Bus/Hired vehicle/other</t>
  </si>
  <si>
    <t>Service Provider</t>
  </si>
  <si>
    <t>Flight No Outward</t>
  </si>
  <si>
    <t>Flight No Return</t>
  </si>
  <si>
    <t>Cumulative Public Transport  Excl. VAT</t>
  </si>
  <si>
    <t>Cumulative Travelling &amp; Other Transport Total Excl. VAT</t>
  </si>
  <si>
    <t xml:space="preserve"> Cumulative Agent of the client: Time Based fees Excl. VAT</t>
  </si>
  <si>
    <t xml:space="preserve"> Cumulative Report: Time Based fees Excl. VAT</t>
  </si>
  <si>
    <t>Cumulative Construction monitoring: Time Based fees Excl. VAT</t>
  </si>
  <si>
    <t>4. Other</t>
  </si>
  <si>
    <t>Cumulative Other: Time Based fees Excl. VAT</t>
  </si>
  <si>
    <t>Cumulative Report Stage, Construction monitoring &amp; Other TOTAL Excl. VAT</t>
  </si>
  <si>
    <t>Previously claimed (Including for Agent of the Client)</t>
  </si>
  <si>
    <r>
      <t xml:space="preserve">2. Report stage </t>
    </r>
    <r>
      <rPr>
        <b/>
        <sz val="11"/>
        <color rgb="FFFF0000"/>
        <rFont val="Arial"/>
        <family val="2"/>
      </rPr>
      <t>(Only if specifically appointed as such)</t>
    </r>
  </si>
  <si>
    <r>
      <t xml:space="preserve">3. Construction monitoring </t>
    </r>
    <r>
      <rPr>
        <b/>
        <sz val="11"/>
        <color rgb="FFFF0000"/>
        <rFont val="Arial"/>
        <family val="2"/>
      </rPr>
      <t>(only after written approval)</t>
    </r>
  </si>
  <si>
    <t>Approved Hours</t>
  </si>
  <si>
    <t>Cumulative Part Time Supervision Excl VAT</t>
  </si>
  <si>
    <t>Cumulative Full Time Supervision Excl VAT</t>
  </si>
  <si>
    <t>Cumulative Travelling expenses</t>
  </si>
  <si>
    <t>Cumulative Site Staff Charges Excl VAT</t>
  </si>
  <si>
    <t>D: Survey, Soil Tests and Other Charges</t>
  </si>
  <si>
    <t>Cumulative Survey, Soil Tests and Other Charges Excl VAT</t>
  </si>
  <si>
    <t>Cumulative Site Staff, Soil Tests  &amp; Other Charges Excl VAT</t>
  </si>
  <si>
    <t>SITE STAFF CHARGES</t>
  </si>
  <si>
    <t>SURVEY, SOIL TESTS AND OTHER CHARGES</t>
  </si>
  <si>
    <t>WCS No</t>
  </si>
  <si>
    <t>WCS Contract NO</t>
  </si>
  <si>
    <t>CLAIM NO:</t>
  </si>
  <si>
    <t>Cons. Ref No.</t>
  </si>
  <si>
    <t>Penalty Applied</t>
  </si>
  <si>
    <t xml:space="preserve">WCS No: </t>
  </si>
  <si>
    <t>SUBSISTENCE  &amp; TRAVELLING</t>
  </si>
  <si>
    <t>SUBSISTENCE &amp; TRAVELLING CHARGES</t>
  </si>
  <si>
    <t>MULTI-DISCIPLINARY PROJECT</t>
  </si>
  <si>
    <t>Subsistence, Travelling, transport, etc</t>
  </si>
  <si>
    <t>Cumulative ,Construction monitoring &amp; Other TOTAL Excl. VAT</t>
  </si>
  <si>
    <r>
      <rPr>
        <b/>
        <sz val="11"/>
        <rFont val="Arial"/>
        <family val="2"/>
      </rPr>
      <t>1. AGENT OF THE CLIENT FEES CALCULATED ON TIME BASIS:</t>
    </r>
    <r>
      <rPr>
        <b/>
        <sz val="11"/>
        <color indexed="10"/>
        <rFont val="Arial"/>
        <family val="2"/>
      </rPr>
      <t xml:space="preserve"> TO BE CAPPED ON 6% OF BASIC FEES</t>
    </r>
  </si>
  <si>
    <t xml:space="preserve">Cumulative Non Taxable Expenses </t>
  </si>
  <si>
    <t>City/Town/Centre</t>
  </si>
  <si>
    <t>Version: 1.1  2012-10</t>
  </si>
  <si>
    <t>NO</t>
  </si>
  <si>
    <t>INCEPTION</t>
  </si>
  <si>
    <t>Portion claimed %</t>
  </si>
  <si>
    <t>PREVIOUS CLAIMS</t>
  </si>
  <si>
    <t>CLAIM No</t>
  </si>
</sst>
</file>

<file path=xl/styles.xml><?xml version="1.0" encoding="utf-8"?>
<styleSheet xmlns="http://schemas.openxmlformats.org/spreadsheetml/2006/main" xmlns:mc="http://schemas.openxmlformats.org/markup-compatibility/2006" xmlns:x14ac="http://schemas.microsoft.com/office/spreadsheetml/2009/9/ac" mc:Ignorable="x14ac">
  <numFmts count="29">
    <numFmt numFmtId="6" formatCode="&quot;R&quot;\ #,##0;[Red]&quot;R&quot;\ \-#,##0"/>
    <numFmt numFmtId="7" formatCode="&quot;R&quot;\ #,##0.00;&quot;R&quot;\ \-#,##0.00"/>
    <numFmt numFmtId="44" formatCode="_ &quot;R&quot;\ * #,##0.00_ ;_ &quot;R&quot;\ * \-#,##0.00_ ;_ &quot;R&quot;\ * &quot;-&quot;??_ ;_ @_ "/>
    <numFmt numFmtId="43" formatCode="_ * #,##0.00_ ;_ * \-#,##0.00_ ;_ * &quot;-&quot;??_ ;_ @_ "/>
    <numFmt numFmtId="164" formatCode="#.00"/>
    <numFmt numFmtId="165" formatCode="#."/>
    <numFmt numFmtId="166" formatCode="m\o\n\th\ d\,\ yyyy"/>
    <numFmt numFmtId="167" formatCode="&quot;R&quot;\ #,##0.00_);\(&quot;R&quot;\ #,##0.00\)"/>
    <numFmt numFmtId="168" formatCode="&quot;R&quot;\ #,##0_);\(&quot;R&quot;\ #,##0\)"/>
    <numFmt numFmtId="169" formatCode="0.0%"/>
    <numFmt numFmtId="170" formatCode="&quot;R&quot;\ #,##0.00"/>
    <numFmt numFmtId="171" formatCode="[$R-1C09]\ #,##0.00"/>
    <numFmt numFmtId="172" formatCode="[$-1C09]dd\ mmmm\ yyyy;@"/>
    <numFmt numFmtId="173" formatCode="&quot;R&quot;\ #,##0"/>
    <numFmt numFmtId="174" formatCode="General_)"/>
    <numFmt numFmtId="175" formatCode="dd\ mmm\ yyyy"/>
    <numFmt numFmtId="176" formatCode="dd\ mmmm\ yyyy"/>
    <numFmt numFmtId="177" formatCode="[$R-1C09]\ #,##0"/>
    <numFmt numFmtId="178" formatCode="000000"/>
    <numFmt numFmtId="179" formatCode="#\ ###\ ##0.00;\(#\ ###\ ##0.00\);\ \ \-\ \ "/>
    <numFmt numFmtId="180" formatCode="0000"/>
    <numFmt numFmtId="181" formatCode="dd\-mmm\-yyyy"/>
    <numFmt numFmtId="182" formatCode="dd\-mmm\-yyyy_)"/>
    <numFmt numFmtId="183" formatCode="00"/>
    <numFmt numFmtId="184" formatCode="000"/>
    <numFmt numFmtId="185" formatCode="0.0"/>
    <numFmt numFmtId="186" formatCode="0.000"/>
    <numFmt numFmtId="187" formatCode="dd\-mmm\-yy\ hh:mm"/>
    <numFmt numFmtId="188" formatCode="dd\-mmm\-yy_)"/>
  </numFmts>
  <fonts count="122" x14ac:knownFonts="1">
    <font>
      <sz val="12"/>
      <name val="Courier"/>
    </font>
    <font>
      <sz val="10"/>
      <name val="Arial"/>
      <family val="2"/>
    </font>
    <font>
      <sz val="1"/>
      <color indexed="8"/>
      <name val="Courier"/>
      <family val="3"/>
    </font>
    <font>
      <b/>
      <sz val="1"/>
      <color indexed="8"/>
      <name val="Courier"/>
      <family val="3"/>
    </font>
    <font>
      <sz val="10"/>
      <name val="Arial"/>
      <family val="2"/>
    </font>
    <font>
      <sz val="10"/>
      <color indexed="8"/>
      <name val="Arial"/>
      <family val="2"/>
    </font>
    <font>
      <b/>
      <sz val="10"/>
      <color indexed="8"/>
      <name val="Arial"/>
      <family val="2"/>
    </font>
    <font>
      <b/>
      <sz val="10"/>
      <name val="Arial"/>
      <family val="2"/>
    </font>
    <font>
      <i/>
      <sz val="1"/>
      <color indexed="8"/>
      <name val="Courier"/>
      <family val="3"/>
    </font>
    <font>
      <sz val="12"/>
      <color indexed="10"/>
      <name val="Arial"/>
      <family val="2"/>
    </font>
    <font>
      <u/>
      <sz val="9"/>
      <color indexed="12"/>
      <name val="Courier"/>
      <family val="3"/>
    </font>
    <font>
      <sz val="8"/>
      <color indexed="81"/>
      <name val="Tahoma"/>
      <family val="2"/>
    </font>
    <font>
      <b/>
      <sz val="8"/>
      <color indexed="81"/>
      <name val="Tahoma"/>
      <family val="2"/>
    </font>
    <font>
      <sz val="10"/>
      <name val="Arial Narrow"/>
      <family val="2"/>
    </font>
    <font>
      <sz val="12"/>
      <name val="Arial"/>
      <family val="2"/>
    </font>
    <font>
      <b/>
      <sz val="12"/>
      <name val="Arial"/>
      <family val="2"/>
    </font>
    <font>
      <sz val="11"/>
      <name val="Arial"/>
      <family val="2"/>
    </font>
    <font>
      <b/>
      <sz val="11"/>
      <name val="Arial"/>
      <family val="2"/>
    </font>
    <font>
      <sz val="10"/>
      <color indexed="81"/>
      <name val="Tahoma"/>
      <family val="2"/>
    </font>
    <font>
      <b/>
      <u/>
      <sz val="8"/>
      <name val="Arial"/>
      <family val="2"/>
    </font>
    <font>
      <sz val="10"/>
      <color indexed="12"/>
      <name val="Arial"/>
      <family val="2"/>
    </font>
    <font>
      <b/>
      <sz val="10"/>
      <color indexed="81"/>
      <name val="Tahoma"/>
      <family val="2"/>
    </font>
    <font>
      <sz val="11"/>
      <color indexed="12"/>
      <name val="Arial"/>
      <family val="2"/>
    </font>
    <font>
      <sz val="11"/>
      <color indexed="8"/>
      <name val="Arial"/>
      <family val="2"/>
    </font>
    <font>
      <b/>
      <sz val="10"/>
      <color indexed="10"/>
      <name val="Arial"/>
      <family val="2"/>
    </font>
    <font>
      <sz val="11"/>
      <color indexed="10"/>
      <name val="Arial"/>
      <family val="2"/>
    </font>
    <font>
      <b/>
      <sz val="16"/>
      <color indexed="10"/>
      <name val="Arial"/>
      <family val="2"/>
    </font>
    <font>
      <b/>
      <i/>
      <sz val="12"/>
      <name val="Arial"/>
      <family val="2"/>
    </font>
    <font>
      <sz val="9"/>
      <name val="Arial"/>
      <family val="2"/>
    </font>
    <font>
      <b/>
      <sz val="11"/>
      <color indexed="10"/>
      <name val="Arial"/>
      <family val="2"/>
    </font>
    <font>
      <b/>
      <sz val="12"/>
      <color indexed="8"/>
      <name val="Arial"/>
      <family val="2"/>
    </font>
    <font>
      <b/>
      <sz val="12"/>
      <color indexed="10"/>
      <name val="Arial"/>
      <family val="2"/>
    </font>
    <font>
      <b/>
      <sz val="11"/>
      <color indexed="8"/>
      <name val="Arial"/>
      <family val="2"/>
    </font>
    <font>
      <b/>
      <sz val="16"/>
      <color indexed="17"/>
      <name val="Arial"/>
      <family val="2"/>
    </font>
    <font>
      <i/>
      <sz val="11"/>
      <name val="Arial"/>
      <family val="2"/>
    </font>
    <font>
      <b/>
      <i/>
      <sz val="12"/>
      <color indexed="10"/>
      <name val="Arial"/>
      <family val="2"/>
    </font>
    <font>
      <b/>
      <sz val="14"/>
      <color indexed="12"/>
      <name val="Arial"/>
      <family val="2"/>
    </font>
    <font>
      <b/>
      <sz val="10"/>
      <color indexed="12"/>
      <name val="Arial"/>
      <family val="2"/>
    </font>
    <font>
      <b/>
      <sz val="24"/>
      <color indexed="10"/>
      <name val="Arial"/>
      <family val="2"/>
    </font>
    <font>
      <b/>
      <sz val="11"/>
      <color indexed="12"/>
      <name val="Arial"/>
      <family val="2"/>
    </font>
    <font>
      <b/>
      <sz val="11"/>
      <color indexed="17"/>
      <name val="Arial"/>
      <family val="2"/>
    </font>
    <font>
      <b/>
      <u/>
      <sz val="11"/>
      <name val="Arial"/>
      <family val="2"/>
    </font>
    <font>
      <i/>
      <sz val="12"/>
      <name val="Arial"/>
      <family val="2"/>
    </font>
    <font>
      <b/>
      <sz val="11"/>
      <color indexed="15"/>
      <name val="Arial"/>
      <family val="2"/>
    </font>
    <font>
      <i/>
      <sz val="11"/>
      <color indexed="8"/>
      <name val="Arial"/>
      <family val="2"/>
    </font>
    <font>
      <b/>
      <sz val="12"/>
      <color indexed="17"/>
      <name val="Arial"/>
      <family val="2"/>
    </font>
    <font>
      <b/>
      <sz val="18"/>
      <color indexed="10"/>
      <name val="Arial"/>
      <family val="2"/>
    </font>
    <font>
      <b/>
      <i/>
      <sz val="11"/>
      <name val="Arial"/>
      <family val="2"/>
    </font>
    <font>
      <sz val="9"/>
      <color indexed="81"/>
      <name val="Tahoma"/>
      <family val="2"/>
    </font>
    <font>
      <sz val="18"/>
      <name val="Arial"/>
      <family val="2"/>
    </font>
    <font>
      <b/>
      <i/>
      <sz val="10"/>
      <color indexed="12"/>
      <name val="Arial"/>
      <family val="2"/>
    </font>
    <font>
      <b/>
      <u/>
      <sz val="12"/>
      <name val="Arial"/>
      <family val="2"/>
    </font>
    <font>
      <sz val="10"/>
      <color indexed="10"/>
      <name val="Arial"/>
      <family val="2"/>
    </font>
    <font>
      <b/>
      <sz val="12"/>
      <color indexed="12"/>
      <name val="Arial"/>
      <family val="2"/>
    </font>
    <font>
      <sz val="8"/>
      <name val="Courier"/>
      <family val="3"/>
    </font>
    <font>
      <sz val="12"/>
      <color indexed="63"/>
      <name val="Times New Roman"/>
      <family val="1"/>
    </font>
    <font>
      <sz val="16"/>
      <name val="Arial"/>
      <family val="2"/>
    </font>
    <font>
      <u/>
      <sz val="16"/>
      <name val="Arial"/>
      <family val="2"/>
    </font>
    <font>
      <b/>
      <i/>
      <sz val="11"/>
      <color indexed="12"/>
      <name val="Arial"/>
      <family val="2"/>
    </font>
    <font>
      <b/>
      <sz val="20"/>
      <color indexed="12"/>
      <name val="Arial"/>
      <family val="2"/>
    </font>
    <font>
      <sz val="12"/>
      <color indexed="22"/>
      <name val="Courier"/>
      <family val="3"/>
    </font>
    <font>
      <b/>
      <sz val="22"/>
      <color indexed="10"/>
      <name val="Arial"/>
      <family val="2"/>
    </font>
    <font>
      <sz val="22"/>
      <name val="Arial"/>
      <family val="2"/>
    </font>
    <font>
      <b/>
      <i/>
      <sz val="12"/>
      <color indexed="12"/>
      <name val="Arial"/>
      <family val="2"/>
    </font>
    <font>
      <b/>
      <sz val="22"/>
      <color indexed="17"/>
      <name val="Arial"/>
      <family val="2"/>
    </font>
    <font>
      <sz val="16"/>
      <color indexed="10"/>
      <name val="Arial"/>
      <family val="2"/>
    </font>
    <font>
      <sz val="9"/>
      <name val="Arial"/>
      <family val="2"/>
    </font>
    <font>
      <b/>
      <sz val="14"/>
      <color indexed="10"/>
      <name val="Arial"/>
      <family val="2"/>
    </font>
    <font>
      <b/>
      <u/>
      <sz val="14"/>
      <color indexed="12"/>
      <name val="Arial"/>
      <family val="2"/>
    </font>
    <font>
      <sz val="12"/>
      <color indexed="8"/>
      <name val="Arial"/>
      <family val="2"/>
    </font>
    <font>
      <sz val="9"/>
      <color indexed="8"/>
      <name val="Arial"/>
      <family val="2"/>
    </font>
    <font>
      <b/>
      <i/>
      <sz val="10"/>
      <color indexed="8"/>
      <name val="Arial"/>
      <family val="2"/>
    </font>
    <font>
      <i/>
      <sz val="10"/>
      <color indexed="8"/>
      <name val="Arial"/>
      <family val="2"/>
    </font>
    <font>
      <b/>
      <u/>
      <sz val="12"/>
      <color indexed="10"/>
      <name val="Arial"/>
      <family val="2"/>
    </font>
    <font>
      <b/>
      <u/>
      <sz val="16"/>
      <name val="Arial"/>
      <family val="2"/>
    </font>
    <font>
      <b/>
      <sz val="14"/>
      <color indexed="8"/>
      <name val="Arial"/>
      <family val="2"/>
    </font>
    <font>
      <b/>
      <u/>
      <sz val="14"/>
      <name val="Arial"/>
      <family val="2"/>
    </font>
    <font>
      <sz val="20"/>
      <name val="Arial"/>
      <family val="2"/>
    </font>
    <font>
      <sz val="14"/>
      <color indexed="12"/>
      <name val="Arial"/>
      <family val="2"/>
    </font>
    <font>
      <sz val="16"/>
      <color indexed="12"/>
      <name val="Arial"/>
      <family val="2"/>
    </font>
    <font>
      <b/>
      <sz val="8"/>
      <color indexed="8"/>
      <name val="Arial"/>
      <family val="2"/>
    </font>
    <font>
      <sz val="8"/>
      <color indexed="8"/>
      <name val="Arial"/>
      <family val="2"/>
    </font>
    <font>
      <b/>
      <sz val="9"/>
      <color indexed="8"/>
      <name val="Arial"/>
      <family val="2"/>
    </font>
    <font>
      <b/>
      <sz val="11"/>
      <color indexed="41"/>
      <name val="Arial"/>
      <family val="2"/>
    </font>
    <font>
      <sz val="11"/>
      <color indexed="41"/>
      <name val="Arial"/>
      <family val="2"/>
    </font>
    <font>
      <b/>
      <sz val="12"/>
      <color indexed="41"/>
      <name val="Arial"/>
      <family val="2"/>
    </font>
    <font>
      <sz val="12"/>
      <color indexed="10"/>
      <name val="Tahoma"/>
      <family val="2"/>
    </font>
    <font>
      <sz val="11"/>
      <color indexed="58"/>
      <name val="Arial"/>
      <family val="2"/>
    </font>
    <font>
      <b/>
      <sz val="11"/>
      <color indexed="58"/>
      <name val="Arial"/>
      <family val="2"/>
    </font>
    <font>
      <b/>
      <sz val="14"/>
      <color indexed="58"/>
      <name val="Arial"/>
      <family val="2"/>
    </font>
    <font>
      <sz val="8"/>
      <color indexed="10"/>
      <name val="Tahoma"/>
      <family val="2"/>
    </font>
    <font>
      <sz val="12"/>
      <color indexed="10"/>
      <name val="Courier"/>
      <family val="3"/>
    </font>
    <font>
      <b/>
      <sz val="12"/>
      <name val="Courier"/>
      <family val="3"/>
    </font>
    <font>
      <b/>
      <sz val="10"/>
      <color indexed="10"/>
      <name val="Tahoma"/>
      <family val="2"/>
    </font>
    <font>
      <b/>
      <sz val="12"/>
      <color indexed="10"/>
      <name val="Tahoma"/>
      <family val="2"/>
    </font>
    <font>
      <b/>
      <sz val="11"/>
      <color indexed="10"/>
      <name val="Arial Narrow"/>
      <family val="2"/>
    </font>
    <font>
      <b/>
      <sz val="10"/>
      <color indexed="10"/>
      <name val="Arial Narrow"/>
      <family val="2"/>
    </font>
    <font>
      <b/>
      <sz val="11"/>
      <color indexed="15"/>
      <name val="Arial Narrow"/>
      <family val="2"/>
    </font>
    <font>
      <sz val="10"/>
      <name val="Arial Narrow"/>
      <family val="2"/>
    </font>
    <font>
      <b/>
      <sz val="14"/>
      <name val="Arial"/>
      <family val="2"/>
    </font>
    <font>
      <sz val="10"/>
      <name val="Courier"/>
      <family val="3"/>
    </font>
    <font>
      <sz val="12"/>
      <name val="Courier"/>
      <family val="3"/>
    </font>
    <font>
      <b/>
      <sz val="10"/>
      <name val="Courier"/>
      <family val="3"/>
    </font>
    <font>
      <b/>
      <i/>
      <sz val="10"/>
      <color rgb="FFFF0000"/>
      <name val="Arial"/>
      <family val="2"/>
    </font>
    <font>
      <b/>
      <u/>
      <sz val="10"/>
      <name val="Arial"/>
      <family val="2"/>
    </font>
    <font>
      <u/>
      <sz val="10"/>
      <name val="Arial"/>
      <family val="2"/>
    </font>
    <font>
      <b/>
      <sz val="11"/>
      <color rgb="FF1F497D"/>
      <name val="Arial"/>
      <family val="2"/>
    </font>
    <font>
      <sz val="11"/>
      <color rgb="FF1F497D"/>
      <name val="Arial"/>
      <family val="2"/>
    </font>
    <font>
      <sz val="8"/>
      <name val="Arial"/>
      <family val="2"/>
    </font>
    <font>
      <u/>
      <sz val="12"/>
      <color rgb="FFFF0000"/>
      <name val="Arial"/>
      <family val="2"/>
    </font>
    <font>
      <u/>
      <sz val="12"/>
      <name val="Arial"/>
      <family val="2"/>
    </font>
    <font>
      <b/>
      <u/>
      <sz val="14"/>
      <color indexed="10"/>
      <name val="Arial"/>
      <family val="2"/>
    </font>
    <font>
      <b/>
      <sz val="12"/>
      <color rgb="FFFF0000"/>
      <name val="Arial"/>
      <family val="2"/>
    </font>
    <font>
      <sz val="12"/>
      <color rgb="FFFF0000"/>
      <name val="Arial"/>
      <family val="2"/>
    </font>
    <font>
      <b/>
      <sz val="10"/>
      <color rgb="FF000000"/>
      <name val="Arial"/>
      <family val="2"/>
    </font>
    <font>
      <sz val="10"/>
      <color rgb="FF0000FF"/>
      <name val="Arial"/>
      <family val="2"/>
    </font>
    <font>
      <b/>
      <sz val="10"/>
      <color rgb="FFFF0000"/>
      <name val="Arial"/>
      <family val="2"/>
    </font>
    <font>
      <b/>
      <sz val="11"/>
      <color rgb="FFFF0000"/>
      <name val="Arial"/>
      <family val="2"/>
    </font>
    <font>
      <i/>
      <sz val="10"/>
      <name val="Arial"/>
      <family val="2"/>
    </font>
    <font>
      <b/>
      <sz val="10"/>
      <color rgb="FFC00000"/>
      <name val="Arial"/>
      <family val="2"/>
    </font>
    <font>
      <u/>
      <sz val="12"/>
      <color indexed="12"/>
      <name val="Arial"/>
      <family val="2"/>
    </font>
    <font>
      <i/>
      <sz val="12"/>
      <name val="Courier"/>
      <family val="3"/>
    </font>
  </fonts>
  <fills count="15">
    <fill>
      <patternFill patternType="none"/>
    </fill>
    <fill>
      <patternFill patternType="gray125"/>
    </fill>
    <fill>
      <patternFill patternType="solid">
        <fgColor indexed="43"/>
        <bgColor indexed="64"/>
      </patternFill>
    </fill>
    <fill>
      <patternFill patternType="solid">
        <fgColor indexed="13"/>
        <bgColor indexed="64"/>
      </patternFill>
    </fill>
    <fill>
      <patternFill patternType="lightTrellis"/>
    </fill>
    <fill>
      <patternFill patternType="lightHorizontal">
        <fgColor indexed="9"/>
      </patternFill>
    </fill>
    <fill>
      <patternFill patternType="solid">
        <fgColor indexed="41"/>
        <bgColor indexed="64"/>
      </patternFill>
    </fill>
    <fill>
      <patternFill patternType="solid">
        <fgColor indexed="22"/>
        <bgColor indexed="64"/>
      </patternFill>
    </fill>
    <fill>
      <patternFill patternType="solid">
        <fgColor indexed="42"/>
        <bgColor indexed="64"/>
      </patternFill>
    </fill>
    <fill>
      <patternFill patternType="solid">
        <fgColor indexed="43"/>
        <bgColor indexed="9"/>
      </patternFill>
    </fill>
    <fill>
      <patternFill patternType="solid">
        <fgColor indexed="47"/>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0" tint="-0.14999847407452621"/>
        <bgColor indexed="64"/>
      </patternFill>
    </fill>
    <fill>
      <patternFill patternType="lightTrellis">
        <bgColor theme="0" tint="-0.14999847407452621"/>
      </patternFill>
    </fill>
  </fills>
  <borders count="226">
    <border>
      <left/>
      <right/>
      <top/>
      <bottom/>
      <diagonal/>
    </border>
    <border>
      <left/>
      <right/>
      <top style="thin">
        <color indexed="64"/>
      </top>
      <bottom style="double">
        <color indexed="64"/>
      </bottom>
      <diagonal/>
    </border>
    <border>
      <left style="double">
        <color indexed="64"/>
      </left>
      <right/>
      <top/>
      <bottom/>
      <diagonal/>
    </border>
    <border>
      <left style="thin">
        <color indexed="64"/>
      </left>
      <right style="double">
        <color indexed="64"/>
      </right>
      <top/>
      <bottom style="medium">
        <color indexed="64"/>
      </bottom>
      <diagonal/>
    </border>
    <border>
      <left/>
      <right/>
      <top/>
      <bottom style="double">
        <color indexed="64"/>
      </bottom>
      <diagonal/>
    </border>
    <border>
      <left/>
      <right style="double">
        <color indexed="64"/>
      </right>
      <top/>
      <bottom/>
      <diagonal/>
    </border>
    <border>
      <left style="thin">
        <color indexed="64"/>
      </left>
      <right style="thin">
        <color indexed="64"/>
      </right>
      <top/>
      <bottom style="thin">
        <color indexed="64"/>
      </bottom>
      <diagonal/>
    </border>
    <border>
      <left/>
      <right/>
      <top style="dotted">
        <color indexed="64"/>
      </top>
      <bottom style="dotted">
        <color indexed="64"/>
      </bottom>
      <diagonal/>
    </border>
    <border>
      <left style="double">
        <color indexed="64"/>
      </left>
      <right/>
      <top/>
      <bottom style="double">
        <color indexed="64"/>
      </bottom>
      <diagonal/>
    </border>
    <border>
      <left style="double">
        <color indexed="64"/>
      </left>
      <right/>
      <top/>
      <bottom style="thin">
        <color indexed="64"/>
      </bottom>
      <diagonal/>
    </border>
    <border>
      <left/>
      <right/>
      <top/>
      <bottom style="thin">
        <color indexed="64"/>
      </bottom>
      <diagonal/>
    </border>
    <border>
      <left style="double">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right/>
      <top/>
      <bottom style="medium">
        <color indexed="64"/>
      </bottom>
      <diagonal/>
    </border>
    <border>
      <left style="double">
        <color indexed="64"/>
      </left>
      <right/>
      <top/>
      <bottom style="medium">
        <color indexed="64"/>
      </bottom>
      <diagonal/>
    </border>
    <border>
      <left/>
      <right/>
      <top style="thin">
        <color indexed="64"/>
      </top>
      <bottom/>
      <diagonal/>
    </border>
    <border>
      <left style="thin">
        <color indexed="64"/>
      </left>
      <right/>
      <top style="thin">
        <color indexed="64"/>
      </top>
      <bottom/>
      <diagonal/>
    </border>
    <border>
      <left style="double">
        <color indexed="64"/>
      </left>
      <right/>
      <top style="double">
        <color indexed="64"/>
      </top>
      <bottom/>
      <diagonal/>
    </border>
    <border>
      <left/>
      <right/>
      <top style="medium">
        <color indexed="64"/>
      </top>
      <bottom style="double">
        <color indexed="64"/>
      </bottom>
      <diagonal/>
    </border>
    <border>
      <left/>
      <right style="double">
        <color indexed="64"/>
      </right>
      <top style="double">
        <color indexed="64"/>
      </top>
      <bottom/>
      <diagonal/>
    </border>
    <border>
      <left style="double">
        <color indexed="64"/>
      </left>
      <right/>
      <top style="double">
        <color indexed="64"/>
      </top>
      <bottom style="thin">
        <color indexed="64"/>
      </bottom>
      <diagonal/>
    </border>
    <border>
      <left/>
      <right style="double">
        <color indexed="64"/>
      </right>
      <top/>
      <bottom style="double">
        <color indexed="64"/>
      </bottom>
      <diagonal/>
    </border>
    <border>
      <left style="double">
        <color indexed="64"/>
      </left>
      <right/>
      <top style="thin">
        <color indexed="64"/>
      </top>
      <bottom style="thin">
        <color indexed="64"/>
      </bottom>
      <diagonal/>
    </border>
    <border>
      <left/>
      <right style="double">
        <color indexed="64"/>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right/>
      <top style="hair">
        <color indexed="64"/>
      </top>
      <bottom style="hair">
        <color indexed="64"/>
      </bottom>
      <diagonal/>
    </border>
    <border>
      <left style="double">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double">
        <color indexed="64"/>
      </right>
      <top style="hair">
        <color indexed="64"/>
      </top>
      <bottom style="medium">
        <color indexed="64"/>
      </bottom>
      <diagonal/>
    </border>
    <border>
      <left style="thin">
        <color indexed="64"/>
      </left>
      <right/>
      <top style="thin">
        <color indexed="64"/>
      </top>
      <bottom style="hair">
        <color indexed="64"/>
      </bottom>
      <diagonal/>
    </border>
    <border>
      <left style="thin">
        <color indexed="64"/>
      </left>
      <right style="double">
        <color indexed="64"/>
      </right>
      <top style="thin">
        <color indexed="64"/>
      </top>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style="double">
        <color indexed="64"/>
      </top>
      <bottom style="medium">
        <color indexed="64"/>
      </bottom>
      <diagonal/>
    </border>
    <border>
      <left style="double">
        <color indexed="64"/>
      </left>
      <right style="double">
        <color indexed="64"/>
      </right>
      <top/>
      <bottom/>
      <diagonal/>
    </border>
    <border>
      <left style="thin">
        <color indexed="64"/>
      </left>
      <right style="double">
        <color indexed="64"/>
      </right>
      <top style="double">
        <color indexed="64"/>
      </top>
      <bottom style="double">
        <color indexed="64"/>
      </bottom>
      <diagonal/>
    </border>
    <border>
      <left/>
      <right style="thin">
        <color indexed="64"/>
      </right>
      <top style="double">
        <color indexed="64"/>
      </top>
      <bottom style="double">
        <color indexed="64"/>
      </bottom>
      <diagonal/>
    </border>
    <border>
      <left/>
      <right style="thin">
        <color indexed="64"/>
      </right>
      <top style="double">
        <color indexed="64"/>
      </top>
      <bottom style="medium">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dotted">
        <color indexed="64"/>
      </top>
      <bottom style="dotted">
        <color indexed="64"/>
      </bottom>
      <diagonal/>
    </border>
    <border>
      <left style="thin">
        <color indexed="64"/>
      </left>
      <right/>
      <top style="thin">
        <color indexed="64"/>
      </top>
      <bottom style="double">
        <color indexed="64"/>
      </bottom>
      <diagonal/>
    </border>
    <border>
      <left/>
      <right style="thin">
        <color indexed="64"/>
      </right>
      <top style="dotted">
        <color indexed="64"/>
      </top>
      <bottom style="dashed">
        <color indexed="64"/>
      </bottom>
      <diagonal/>
    </border>
    <border>
      <left style="thin">
        <color indexed="64"/>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style="double">
        <color indexed="64"/>
      </bottom>
      <diagonal/>
    </border>
    <border>
      <left style="double">
        <color indexed="64"/>
      </left>
      <right/>
      <top style="medium">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style="double">
        <color indexed="64"/>
      </right>
      <top/>
      <bottom style="thin">
        <color indexed="64"/>
      </bottom>
      <diagonal/>
    </border>
    <border>
      <left style="double">
        <color indexed="64"/>
      </left>
      <right/>
      <top/>
      <bottom style="dashed">
        <color indexed="64"/>
      </bottom>
      <diagonal/>
    </border>
    <border>
      <left style="double">
        <color indexed="64"/>
      </left>
      <right/>
      <top style="dashed">
        <color indexed="64"/>
      </top>
      <bottom style="dashed">
        <color indexed="64"/>
      </bottom>
      <diagonal/>
    </border>
    <border>
      <left style="double">
        <color indexed="64"/>
      </left>
      <right/>
      <top style="dashed">
        <color indexed="64"/>
      </top>
      <bottom style="dotted">
        <color indexed="64"/>
      </bottom>
      <diagonal/>
    </border>
    <border>
      <left style="double">
        <color indexed="64"/>
      </left>
      <right/>
      <top style="dotted">
        <color indexed="64"/>
      </top>
      <bottom style="dotted">
        <color indexed="64"/>
      </bottom>
      <diagonal/>
    </border>
    <border>
      <left style="double">
        <color indexed="64"/>
      </left>
      <right/>
      <top style="dotted">
        <color indexed="64"/>
      </top>
      <bottom style="dashed">
        <color indexed="64"/>
      </bottom>
      <diagonal/>
    </border>
    <border>
      <left style="double">
        <color indexed="64"/>
      </left>
      <right/>
      <top style="dashed">
        <color indexed="64"/>
      </top>
      <bottom style="double">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style="double">
        <color indexed="64"/>
      </left>
      <right/>
      <top style="double">
        <color indexed="64"/>
      </top>
      <bottom style="dotted">
        <color indexed="64"/>
      </bottom>
      <diagonal/>
    </border>
    <border>
      <left style="double">
        <color indexed="64"/>
      </left>
      <right/>
      <top style="dotted">
        <color indexed="64"/>
      </top>
      <bottom style="thin">
        <color indexed="64"/>
      </bottom>
      <diagonal/>
    </border>
    <border>
      <left style="double">
        <color indexed="64"/>
      </left>
      <right/>
      <top style="thin">
        <color indexed="64"/>
      </top>
      <bottom style="dotted">
        <color indexed="64"/>
      </bottom>
      <diagonal/>
    </border>
    <border>
      <left/>
      <right/>
      <top style="thin">
        <color indexed="64"/>
      </top>
      <bottom style="dotted">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medium">
        <color indexed="64"/>
      </bottom>
      <diagonal/>
    </border>
    <border>
      <left/>
      <right style="double">
        <color indexed="64"/>
      </right>
      <top style="medium">
        <color indexed="64"/>
      </top>
      <bottom style="double">
        <color indexed="64"/>
      </bottom>
      <diagonal/>
    </border>
    <border>
      <left style="thin">
        <color indexed="64"/>
      </left>
      <right style="double">
        <color indexed="64"/>
      </right>
      <top style="double">
        <color indexed="64"/>
      </top>
      <bottom style="medium">
        <color indexed="64"/>
      </bottom>
      <diagonal/>
    </border>
    <border>
      <left style="thin">
        <color indexed="64"/>
      </left>
      <right/>
      <top/>
      <bottom style="double">
        <color indexed="64"/>
      </bottom>
      <diagonal/>
    </border>
    <border>
      <left/>
      <right/>
      <top style="hair">
        <color indexed="64"/>
      </top>
      <bottom/>
      <diagonal/>
    </border>
    <border>
      <left style="thin">
        <color indexed="64"/>
      </left>
      <right style="double">
        <color indexed="64"/>
      </right>
      <top style="double">
        <color indexed="64"/>
      </top>
      <bottom style="thin">
        <color indexed="64"/>
      </bottom>
      <diagonal/>
    </border>
    <border>
      <left style="thin">
        <color indexed="8"/>
      </left>
      <right/>
      <top/>
      <bottom style="double">
        <color indexed="64"/>
      </bottom>
      <diagonal/>
    </border>
    <border>
      <left style="thin">
        <color indexed="8"/>
      </left>
      <right/>
      <top style="thin">
        <color indexed="64"/>
      </top>
      <bottom style="double">
        <color indexed="64"/>
      </bottom>
      <diagonal/>
    </border>
    <border>
      <left style="double">
        <color indexed="64"/>
      </left>
      <right style="thin">
        <color indexed="64"/>
      </right>
      <top style="double">
        <color indexed="64"/>
      </top>
      <bottom/>
      <diagonal/>
    </border>
    <border>
      <left/>
      <right style="double">
        <color indexed="64"/>
      </right>
      <top style="double">
        <color indexed="64"/>
      </top>
      <bottom style="medium">
        <color indexed="64"/>
      </bottom>
      <diagonal/>
    </border>
    <border>
      <left style="double">
        <color indexed="64"/>
      </left>
      <right style="double">
        <color indexed="64"/>
      </right>
      <top style="medium">
        <color indexed="64"/>
      </top>
      <bottom style="medium">
        <color indexed="64"/>
      </bottom>
      <diagonal/>
    </border>
    <border>
      <left style="thin">
        <color indexed="64"/>
      </left>
      <right/>
      <top style="double">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bottom/>
      <diagonal/>
    </border>
    <border>
      <left style="thin">
        <color indexed="64"/>
      </left>
      <right style="double">
        <color indexed="64"/>
      </right>
      <top style="medium">
        <color indexed="64"/>
      </top>
      <bottom style="double">
        <color indexed="64"/>
      </bottom>
      <diagonal/>
    </border>
    <border>
      <left/>
      <right style="double">
        <color indexed="64"/>
      </right>
      <top style="hair">
        <color indexed="64"/>
      </top>
      <bottom style="hair">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bottom style="hair">
        <color indexed="64"/>
      </bottom>
      <diagonal/>
    </border>
    <border>
      <left style="thin">
        <color indexed="64"/>
      </left>
      <right style="double">
        <color indexed="64"/>
      </right>
      <top/>
      <bottom style="hair">
        <color indexed="64"/>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style="medium">
        <color indexed="64"/>
      </bottom>
      <diagonal/>
    </border>
    <border>
      <left style="double">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uble">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double">
        <color indexed="64"/>
      </left>
      <right/>
      <top style="dotted">
        <color indexed="64"/>
      </top>
      <bottom/>
      <diagonal/>
    </border>
    <border>
      <left/>
      <right/>
      <top style="dotted">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dotted">
        <color indexed="64"/>
      </top>
      <bottom/>
      <diagonal/>
    </border>
    <border>
      <left/>
      <right style="double">
        <color indexed="64"/>
      </right>
      <top/>
      <bottom style="medium">
        <color indexed="64"/>
      </bottom>
      <diagonal/>
    </border>
    <border>
      <left/>
      <right style="double">
        <color indexed="64"/>
      </right>
      <top style="thin">
        <color indexed="64"/>
      </top>
      <bottom style="double">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medium">
        <color indexed="64"/>
      </bottom>
      <diagonal/>
    </border>
    <border>
      <left style="double">
        <color indexed="64"/>
      </left>
      <right style="double">
        <color indexed="64"/>
      </right>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thin">
        <color indexed="64"/>
      </top>
      <bottom style="medium">
        <color indexed="64"/>
      </bottom>
      <diagonal/>
    </border>
    <border>
      <left style="thin">
        <color indexed="64"/>
      </left>
      <right style="double">
        <color indexed="64"/>
      </right>
      <top style="medium">
        <color indexed="64"/>
      </top>
      <bottom style="medium">
        <color indexed="64"/>
      </bottom>
      <diagonal/>
    </border>
    <border>
      <left/>
      <right/>
      <top/>
      <bottom style="dashed">
        <color indexed="64"/>
      </bottom>
      <diagonal/>
    </border>
    <border>
      <left/>
      <right style="thin">
        <color indexed="64"/>
      </right>
      <top style="thin">
        <color indexed="64"/>
      </top>
      <bottom style="dashed">
        <color indexed="64"/>
      </bottom>
      <diagonal/>
    </border>
    <border>
      <left style="double">
        <color indexed="64"/>
      </left>
      <right style="thin">
        <color indexed="64"/>
      </right>
      <top style="medium">
        <color indexed="64"/>
      </top>
      <bottom style="thin">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style="medium">
        <color indexed="64"/>
      </top>
      <bottom style="double">
        <color indexed="64"/>
      </bottom>
      <diagonal/>
    </border>
    <border>
      <left style="thin">
        <color indexed="64"/>
      </left>
      <right/>
      <top style="medium">
        <color indexed="64"/>
      </top>
      <bottom style="thin">
        <color indexed="64"/>
      </bottom>
      <diagonal/>
    </border>
    <border>
      <left style="double">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double">
        <color indexed="64"/>
      </bottom>
      <diagonal/>
    </border>
    <border>
      <left/>
      <right style="thin">
        <color indexed="8"/>
      </right>
      <top style="thin">
        <color indexed="64"/>
      </top>
      <bottom style="double">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style="double">
        <color indexed="64"/>
      </right>
      <top/>
      <bottom style="dotted">
        <color indexed="64"/>
      </bottom>
      <diagonal/>
    </border>
    <border>
      <left/>
      <right style="double">
        <color indexed="64"/>
      </right>
      <top style="dotted">
        <color indexed="64"/>
      </top>
      <bottom/>
      <diagonal/>
    </border>
    <border>
      <left/>
      <right style="double">
        <color indexed="64"/>
      </right>
      <top style="dotted">
        <color indexed="64"/>
      </top>
      <bottom style="dotted">
        <color indexed="64"/>
      </bottom>
      <diagonal/>
    </border>
    <border>
      <left style="thin">
        <color indexed="64"/>
      </left>
      <right style="double">
        <color indexed="64"/>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style="double">
        <color indexed="64"/>
      </right>
      <top/>
      <bottom style="dashed">
        <color indexed="64"/>
      </bottom>
      <diagonal/>
    </border>
    <border>
      <left style="double">
        <color indexed="64"/>
      </left>
      <right style="thin">
        <color indexed="64"/>
      </right>
      <top/>
      <bottom style="double">
        <color indexed="64"/>
      </bottom>
      <diagonal/>
    </border>
    <border>
      <left style="thin">
        <color indexed="64"/>
      </left>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left style="medium">
        <color indexed="64"/>
      </left>
      <right style="double">
        <color indexed="64"/>
      </right>
      <top/>
      <bottom style="thin">
        <color indexed="64"/>
      </bottom>
      <diagonal/>
    </border>
    <border>
      <left style="medium">
        <color indexed="64"/>
      </left>
      <right style="double">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double">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double">
        <color indexed="64"/>
      </left>
      <right style="thin">
        <color indexed="64"/>
      </right>
      <top/>
      <bottom style="dotted">
        <color indexed="64"/>
      </bottom>
      <diagonal/>
    </border>
    <border>
      <left style="thin">
        <color indexed="64"/>
      </left>
      <right/>
      <top/>
      <bottom style="dotted">
        <color indexed="64"/>
      </bottom>
      <diagonal/>
    </border>
    <border>
      <left style="medium">
        <color indexed="64"/>
      </left>
      <right/>
      <top/>
      <bottom style="dotted">
        <color indexed="64"/>
      </bottom>
      <diagonal/>
    </border>
    <border>
      <left style="medium">
        <color indexed="64"/>
      </left>
      <right style="thin">
        <color indexed="64"/>
      </right>
      <top/>
      <bottom style="dotted">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top style="dotted">
        <color indexed="64"/>
      </top>
      <bottom style="dotted">
        <color indexed="64"/>
      </bottom>
      <diagonal/>
    </border>
    <border>
      <left style="thin">
        <color indexed="64"/>
      </left>
      <right/>
      <top style="double">
        <color indexed="64"/>
      </top>
      <bottom style="medium">
        <color indexed="64"/>
      </bottom>
      <diagonal/>
    </border>
    <border>
      <left/>
      <right style="thin">
        <color indexed="64"/>
      </right>
      <top style="medium">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dotted">
        <color indexed="64"/>
      </bottom>
      <diagonal/>
    </border>
    <border>
      <left style="double">
        <color indexed="64"/>
      </left>
      <right style="thin">
        <color indexed="64"/>
      </right>
      <top style="dotted">
        <color indexed="64"/>
      </top>
      <bottom style="dotted">
        <color indexed="64"/>
      </bottom>
      <diagonal/>
    </border>
    <border>
      <left style="thin">
        <color indexed="64"/>
      </left>
      <right style="double">
        <color indexed="64"/>
      </right>
      <top style="dotted">
        <color indexed="64"/>
      </top>
      <bottom style="dotted">
        <color indexed="64"/>
      </bottom>
      <diagonal/>
    </border>
    <border>
      <left style="double">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double">
        <color indexed="64"/>
      </right>
      <top style="dotted">
        <color indexed="64"/>
      </top>
      <bottom style="medium">
        <color indexed="64"/>
      </bottom>
      <diagonal/>
    </border>
    <border>
      <left style="double">
        <color indexed="64"/>
      </left>
      <right style="thin">
        <color indexed="64"/>
      </right>
      <top/>
      <bottom style="hair">
        <color indexed="64"/>
      </bottom>
      <diagonal/>
    </border>
    <border>
      <left/>
      <right/>
      <top/>
      <bottom style="hair">
        <color indexed="64"/>
      </bottom>
      <diagonal/>
    </border>
    <border>
      <left style="thin">
        <color indexed="64"/>
      </left>
      <right style="thin">
        <color indexed="64"/>
      </right>
      <top style="hair">
        <color indexed="64"/>
      </top>
      <bottom/>
      <diagonal/>
    </border>
    <border>
      <left style="double">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s>
  <cellStyleXfs count="19">
    <xf numFmtId="0" fontId="0" fillId="0" borderId="0"/>
    <xf numFmtId="44" fontId="1" fillId="0" borderId="0" applyFont="0" applyFill="0" applyBorder="0" applyAlignment="0" applyProtection="0"/>
    <xf numFmtId="166" fontId="2" fillId="0" borderId="0">
      <protection locked="0"/>
    </xf>
    <xf numFmtId="0" fontId="2" fillId="0" borderId="0">
      <protection locked="0"/>
    </xf>
    <xf numFmtId="0" fontId="2" fillId="0" borderId="0">
      <protection locked="0"/>
    </xf>
    <xf numFmtId="0" fontId="8" fillId="0" borderId="0">
      <protection locked="0"/>
    </xf>
    <xf numFmtId="0" fontId="2" fillId="0" borderId="0">
      <protection locked="0"/>
    </xf>
    <xf numFmtId="0" fontId="2" fillId="0" borderId="0">
      <protection locked="0"/>
    </xf>
    <xf numFmtId="0" fontId="2" fillId="0" borderId="0">
      <protection locked="0"/>
    </xf>
    <xf numFmtId="0" fontId="8" fillId="0" borderId="0">
      <protection locked="0"/>
    </xf>
    <xf numFmtId="164" fontId="2" fillId="0" borderId="0">
      <protection locked="0"/>
    </xf>
    <xf numFmtId="165" fontId="3" fillId="0" borderId="0">
      <protection locked="0"/>
    </xf>
    <xf numFmtId="165" fontId="3" fillId="0" borderId="0">
      <protection locked="0"/>
    </xf>
    <xf numFmtId="0" fontId="10" fillId="0" borderId="0" applyNumberFormat="0" applyFill="0" applyBorder="0" applyAlignment="0" applyProtection="0">
      <alignment vertical="top"/>
      <protection locked="0"/>
    </xf>
    <xf numFmtId="0" fontId="28" fillId="0" borderId="0"/>
    <xf numFmtId="0" fontId="13" fillId="0" borderId="0"/>
    <xf numFmtId="9" fontId="1" fillId="0" borderId="0" applyFont="0" applyFill="0" applyBorder="0" applyAlignment="0" applyProtection="0"/>
    <xf numFmtId="165" fontId="2" fillId="0" borderId="1">
      <protection locked="0"/>
    </xf>
    <xf numFmtId="0" fontId="101" fillId="0" borderId="0" applyFont="0"/>
  </cellStyleXfs>
  <cellXfs count="1981">
    <xf numFmtId="0" fontId="0" fillId="0" borderId="0" xfId="0"/>
    <xf numFmtId="0" fontId="5" fillId="0" borderId="0" xfId="0" applyFont="1" applyFill="1" applyBorder="1" applyProtection="1"/>
    <xf numFmtId="0" fontId="16" fillId="0" borderId="0" xfId="0" applyFont="1" applyFill="1" applyBorder="1" applyProtection="1"/>
    <xf numFmtId="0" fontId="16" fillId="0" borderId="0" xfId="0" applyFont="1" applyBorder="1"/>
    <xf numFmtId="0" fontId="16" fillId="0" borderId="0" xfId="0" applyFont="1"/>
    <xf numFmtId="3" fontId="30" fillId="0" borderId="0" xfId="15" applyNumberFormat="1" applyFont="1" applyBorder="1" applyProtection="1">
      <protection locked="0"/>
    </xf>
    <xf numFmtId="3" fontId="31" fillId="0" borderId="0" xfId="15" applyNumberFormat="1" applyFont="1" applyBorder="1" applyProtection="1"/>
    <xf numFmtId="170" fontId="0" fillId="0" borderId="0" xfId="0" applyNumberFormat="1"/>
    <xf numFmtId="0" fontId="16" fillId="0" borderId="2" xfId="0" applyFont="1" applyFill="1" applyBorder="1" applyAlignment="1" applyProtection="1">
      <alignment horizontal="left" vertical="center" wrapText="1"/>
    </xf>
    <xf numFmtId="0" fontId="16" fillId="0" borderId="0" xfId="0" applyFont="1" applyBorder="1" applyAlignment="1" applyProtection="1">
      <alignment horizontal="left" vertical="center"/>
    </xf>
    <xf numFmtId="173" fontId="38" fillId="0" borderId="3" xfId="0" applyNumberFormat="1" applyFont="1" applyFill="1" applyBorder="1" applyAlignment="1" applyProtection="1">
      <alignment horizontal="center" vertical="center"/>
    </xf>
    <xf numFmtId="0" fontId="16" fillId="0" borderId="4" xfId="0" applyFont="1" applyBorder="1" applyAlignment="1" applyProtection="1">
      <alignment vertical="center"/>
    </xf>
    <xf numFmtId="0" fontId="16" fillId="0" borderId="0" xfId="0" applyFont="1" applyBorder="1" applyAlignment="1" applyProtection="1">
      <alignment vertical="center"/>
    </xf>
    <xf numFmtId="0" fontId="16" fillId="0" borderId="0" xfId="0" applyFont="1" applyFill="1" applyBorder="1" applyAlignment="1" applyProtection="1">
      <alignment vertical="center"/>
    </xf>
    <xf numFmtId="0" fontId="17" fillId="0" borderId="0" xfId="0" applyFont="1" applyBorder="1" applyAlignment="1" applyProtection="1">
      <alignment vertical="center"/>
    </xf>
    <xf numFmtId="0" fontId="7" fillId="0" borderId="0" xfId="0" applyFont="1" applyAlignment="1">
      <alignment vertical="top" wrapText="1"/>
    </xf>
    <xf numFmtId="0" fontId="4" fillId="0" borderId="0" xfId="0" applyFont="1" applyAlignment="1">
      <alignment vertical="top" wrapText="1"/>
    </xf>
    <xf numFmtId="0" fontId="4" fillId="0" borderId="0" xfId="0" applyNumberFormat="1" applyFont="1" applyAlignment="1">
      <alignment vertical="center" wrapText="1"/>
    </xf>
    <xf numFmtId="0" fontId="4" fillId="0" borderId="0" xfId="0" applyFont="1" applyAlignment="1">
      <alignment vertical="center" wrapText="1"/>
    </xf>
    <xf numFmtId="0" fontId="4" fillId="0" borderId="0" xfId="0" applyFont="1" applyAlignment="1">
      <alignment horizontal="center" vertical="top" wrapText="1"/>
    </xf>
    <xf numFmtId="0" fontId="4" fillId="0" borderId="0" xfId="0" applyFont="1" applyBorder="1" applyAlignment="1">
      <alignment vertical="top" wrapText="1"/>
    </xf>
    <xf numFmtId="0" fontId="15" fillId="0" borderId="0" xfId="0" applyFont="1" applyAlignment="1">
      <alignment vertical="center" wrapText="1"/>
    </xf>
    <xf numFmtId="0" fontId="17" fillId="0" borderId="0" xfId="0" applyFont="1" applyAlignment="1">
      <alignment vertical="center" wrapText="1"/>
    </xf>
    <xf numFmtId="0" fontId="41" fillId="0" borderId="0" xfId="0" applyFont="1" applyAlignment="1">
      <alignment vertical="center" wrapText="1"/>
    </xf>
    <xf numFmtId="0" fontId="31" fillId="0" borderId="0" xfId="0" applyFont="1" applyBorder="1" applyAlignment="1" applyProtection="1">
      <alignment vertical="center"/>
    </xf>
    <xf numFmtId="0" fontId="17" fillId="0" borderId="2" xfId="0" applyFont="1" applyFill="1" applyBorder="1" applyAlignment="1" applyProtection="1">
      <alignment horizontal="left" vertical="center"/>
    </xf>
    <xf numFmtId="0" fontId="16" fillId="0" borderId="5" xfId="0" applyFont="1" applyBorder="1" applyAlignment="1" applyProtection="1">
      <alignment vertical="center"/>
    </xf>
    <xf numFmtId="0" fontId="14" fillId="0" borderId="5" xfId="0" applyFont="1" applyBorder="1" applyAlignment="1">
      <alignment vertical="center"/>
    </xf>
    <xf numFmtId="0" fontId="17" fillId="0" borderId="4" xfId="0" applyFont="1" applyBorder="1" applyAlignment="1" applyProtection="1">
      <alignment vertical="center"/>
    </xf>
    <xf numFmtId="0" fontId="25" fillId="0" borderId="6" xfId="0" applyFont="1" applyFill="1" applyBorder="1" applyAlignment="1" applyProtection="1">
      <alignment vertical="center"/>
    </xf>
    <xf numFmtId="0" fontId="4" fillId="0" borderId="7" xfId="0" applyFont="1" applyFill="1" applyBorder="1" applyAlignment="1" applyProtection="1">
      <alignment horizontal="left" vertical="center"/>
    </xf>
    <xf numFmtId="0" fontId="16" fillId="0" borderId="7" xfId="0" applyFont="1" applyFill="1" applyBorder="1" applyAlignment="1" applyProtection="1">
      <alignment vertical="center"/>
    </xf>
    <xf numFmtId="0" fontId="4" fillId="0" borderId="0" xfId="0" applyFont="1" applyAlignment="1">
      <alignment wrapText="1"/>
    </xf>
    <xf numFmtId="0" fontId="4" fillId="0" borderId="0" xfId="0" applyFont="1" applyBorder="1" applyAlignment="1" applyProtection="1">
      <alignment horizontal="left" vertical="center"/>
    </xf>
    <xf numFmtId="0" fontId="5" fillId="0" borderId="2" xfId="0" applyFont="1" applyFill="1" applyBorder="1" applyAlignment="1" applyProtection="1">
      <alignment vertical="center"/>
    </xf>
    <xf numFmtId="0" fontId="5" fillId="0" borderId="0" xfId="0" applyFont="1" applyFill="1" applyBorder="1" applyAlignment="1" applyProtection="1">
      <alignment vertical="center"/>
    </xf>
    <xf numFmtId="0" fontId="4" fillId="0" borderId="0" xfId="0" applyFont="1" applyBorder="1" applyAlignment="1" applyProtection="1">
      <alignment vertical="center"/>
    </xf>
    <xf numFmtId="9" fontId="5" fillId="0" borderId="0" xfId="16" applyFont="1" applyFill="1" applyBorder="1" applyAlignment="1" applyProtection="1">
      <alignment vertical="center"/>
    </xf>
    <xf numFmtId="0" fontId="4" fillId="0" borderId="8" xfId="0" applyFont="1" applyBorder="1" applyAlignment="1" applyProtection="1">
      <alignment vertical="center"/>
    </xf>
    <xf numFmtId="0" fontId="5" fillId="0" borderId="4" xfId="0" applyFont="1" applyFill="1" applyBorder="1" applyAlignment="1" applyProtection="1">
      <alignment vertical="center"/>
    </xf>
    <xf numFmtId="170" fontId="32" fillId="0" borderId="4" xfId="0" applyNumberFormat="1" applyFont="1" applyFill="1" applyBorder="1" applyAlignment="1" applyProtection="1">
      <alignment horizontal="left" vertical="center"/>
    </xf>
    <xf numFmtId="170" fontId="32" fillId="0" borderId="4" xfId="0" applyNumberFormat="1" applyFont="1" applyFill="1" applyBorder="1" applyAlignment="1" applyProtection="1">
      <alignment vertical="center"/>
    </xf>
    <xf numFmtId="0" fontId="36" fillId="0" borderId="2" xfId="0" applyFont="1" applyFill="1" applyBorder="1" applyAlignment="1" applyProtection="1">
      <alignment vertical="center"/>
    </xf>
    <xf numFmtId="0" fontId="4" fillId="0" borderId="0" xfId="0" applyFont="1" applyFill="1" applyBorder="1" applyAlignment="1" applyProtection="1">
      <alignment horizontal="center" vertical="center"/>
    </xf>
    <xf numFmtId="9" fontId="4" fillId="0" borderId="0" xfId="16" applyFont="1" applyFill="1" applyBorder="1" applyAlignment="1" applyProtection="1">
      <alignment vertical="center"/>
    </xf>
    <xf numFmtId="0" fontId="4" fillId="0" borderId="0" xfId="0" applyFont="1" applyBorder="1" applyAlignment="1" applyProtection="1">
      <alignment horizontal="center" vertical="center"/>
    </xf>
    <xf numFmtId="9" fontId="4" fillId="0" borderId="2" xfId="0" applyNumberFormat="1" applyFont="1" applyFill="1" applyBorder="1" applyAlignment="1" applyProtection="1">
      <alignment vertical="center"/>
    </xf>
    <xf numFmtId="0" fontId="4" fillId="0" borderId="0" xfId="0" applyFont="1" applyFill="1" applyBorder="1" applyAlignment="1" applyProtection="1">
      <alignment vertical="center"/>
    </xf>
    <xf numFmtId="2" fontId="5" fillId="0" borderId="0" xfId="0" applyNumberFormat="1" applyFont="1" applyFill="1" applyBorder="1" applyAlignment="1" applyProtection="1">
      <alignment vertical="center"/>
    </xf>
    <xf numFmtId="0" fontId="5" fillId="0" borderId="0" xfId="0" applyFont="1" applyFill="1" applyBorder="1" applyAlignment="1" applyProtection="1">
      <alignment horizontal="center" vertical="center"/>
    </xf>
    <xf numFmtId="0" fontId="4" fillId="0" borderId="9" xfId="0" applyFont="1" applyBorder="1" applyAlignment="1" applyProtection="1">
      <alignment vertical="center"/>
    </xf>
    <xf numFmtId="0" fontId="4" fillId="0" borderId="10" xfId="0" applyFont="1" applyBorder="1" applyAlignment="1" applyProtection="1">
      <alignment vertical="center"/>
    </xf>
    <xf numFmtId="9" fontId="4" fillId="0" borderId="10" xfId="16" applyFont="1" applyBorder="1" applyAlignment="1" applyProtection="1">
      <alignment vertical="center"/>
    </xf>
    <xf numFmtId="9" fontId="4" fillId="0" borderId="0" xfId="16" applyFont="1" applyBorder="1" applyAlignment="1" applyProtection="1">
      <alignment vertical="center"/>
    </xf>
    <xf numFmtId="0" fontId="6" fillId="0" borderId="11" xfId="0" applyFont="1" applyFill="1" applyBorder="1" applyAlignment="1" applyProtection="1">
      <alignment vertical="center"/>
    </xf>
    <xf numFmtId="9" fontId="5" fillId="0" borderId="2" xfId="0" applyNumberFormat="1" applyFont="1" applyFill="1" applyBorder="1" applyAlignment="1" applyProtection="1">
      <alignment vertical="center"/>
    </xf>
    <xf numFmtId="0" fontId="5" fillId="0" borderId="10" xfId="0" applyFont="1" applyFill="1" applyBorder="1" applyAlignment="1" applyProtection="1">
      <alignment vertical="center"/>
    </xf>
    <xf numFmtId="0" fontId="6" fillId="0" borderId="2" xfId="0" applyFont="1" applyFill="1" applyBorder="1" applyAlignment="1" applyProtection="1">
      <alignment vertical="center"/>
    </xf>
    <xf numFmtId="0" fontId="5" fillId="0" borderId="11" xfId="0" applyFont="1" applyFill="1" applyBorder="1" applyAlignment="1" applyProtection="1">
      <alignment vertical="center"/>
    </xf>
    <xf numFmtId="0" fontId="29" fillId="2" borderId="12" xfId="0" applyFont="1" applyFill="1" applyBorder="1" applyAlignment="1" applyProtection="1">
      <alignment horizontal="center" vertical="center"/>
      <protection locked="0"/>
    </xf>
    <xf numFmtId="0" fontId="14" fillId="0" borderId="0" xfId="0" applyFont="1" applyBorder="1" applyAlignment="1">
      <alignment vertical="center"/>
    </xf>
    <xf numFmtId="0" fontId="14" fillId="0" borderId="0" xfId="0" applyFont="1" applyBorder="1" applyAlignment="1" applyProtection="1">
      <alignment vertical="center" wrapText="1"/>
    </xf>
    <xf numFmtId="0" fontId="14" fillId="0" borderId="0" xfId="0" applyFont="1" applyBorder="1" applyAlignment="1" applyProtection="1">
      <alignment vertical="center"/>
    </xf>
    <xf numFmtId="0" fontId="17" fillId="0" borderId="0" xfId="0" applyFont="1" applyBorder="1" applyAlignment="1" applyProtection="1">
      <alignment horizontal="left" vertical="center"/>
    </xf>
    <xf numFmtId="9" fontId="4" fillId="0" borderId="0" xfId="0" applyNumberFormat="1" applyFont="1" applyFill="1" applyBorder="1" applyAlignment="1" applyProtection="1">
      <alignment vertical="center"/>
    </xf>
    <xf numFmtId="0" fontId="4" fillId="0" borderId="0" xfId="0" applyFont="1" applyFill="1" applyBorder="1" applyAlignment="1" applyProtection="1">
      <alignment horizontal="left" vertical="center"/>
    </xf>
    <xf numFmtId="170" fontId="4" fillId="0" borderId="0" xfId="0" applyNumberFormat="1" applyFont="1" applyFill="1" applyBorder="1" applyAlignment="1" applyProtection="1">
      <alignment vertical="center"/>
    </xf>
    <xf numFmtId="170" fontId="4" fillId="0" borderId="0" xfId="0" applyNumberFormat="1" applyFont="1" applyFill="1" applyBorder="1" applyAlignment="1" applyProtection="1">
      <alignment horizontal="left" vertical="center"/>
    </xf>
    <xf numFmtId="170" fontId="4" fillId="0" borderId="0" xfId="16" applyNumberFormat="1" applyFont="1" applyFill="1" applyBorder="1" applyAlignment="1" applyProtection="1">
      <alignment vertical="center"/>
    </xf>
    <xf numFmtId="170" fontId="4" fillId="0" borderId="0" xfId="0" applyNumberFormat="1" applyFont="1" applyBorder="1" applyAlignment="1" applyProtection="1">
      <alignment vertical="center"/>
    </xf>
    <xf numFmtId="170" fontId="4" fillId="0" borderId="0" xfId="0" applyNumberFormat="1" applyFont="1" applyFill="1" applyBorder="1" applyAlignment="1" applyProtection="1">
      <alignment horizontal="center" vertical="center"/>
    </xf>
    <xf numFmtId="0" fontId="4" fillId="0" borderId="13" xfId="0" applyFont="1" applyFill="1" applyBorder="1" applyAlignment="1" applyProtection="1">
      <alignment vertical="center"/>
    </xf>
    <xf numFmtId="0" fontId="4" fillId="0" borderId="5" xfId="0" applyFont="1" applyFill="1" applyBorder="1" applyAlignment="1" applyProtection="1">
      <alignment vertical="center"/>
    </xf>
    <xf numFmtId="170" fontId="4" fillId="0" borderId="14" xfId="0" applyNumberFormat="1" applyFont="1" applyFill="1" applyBorder="1" applyAlignment="1" applyProtection="1">
      <alignment vertical="center"/>
    </xf>
    <xf numFmtId="2" fontId="4" fillId="0" borderId="0" xfId="0" applyNumberFormat="1" applyFont="1" applyFill="1" applyBorder="1" applyAlignment="1" applyProtection="1">
      <alignment vertical="center"/>
    </xf>
    <xf numFmtId="170" fontId="5" fillId="0" borderId="0" xfId="0" applyNumberFormat="1" applyFont="1" applyFill="1" applyBorder="1" applyAlignment="1" applyProtection="1">
      <alignment vertical="center"/>
    </xf>
    <xf numFmtId="170" fontId="5" fillId="0" borderId="0" xfId="0" applyNumberFormat="1" applyFont="1" applyFill="1" applyBorder="1" applyAlignment="1" applyProtection="1">
      <alignment horizontal="center" vertical="center"/>
    </xf>
    <xf numFmtId="170" fontId="5" fillId="0" borderId="0" xfId="1" applyNumberFormat="1" applyFont="1" applyFill="1" applyBorder="1" applyAlignment="1" applyProtection="1">
      <alignment vertical="center"/>
    </xf>
    <xf numFmtId="170" fontId="5" fillId="0" borderId="10" xfId="0" applyNumberFormat="1" applyFont="1" applyFill="1" applyBorder="1" applyAlignment="1" applyProtection="1">
      <alignment vertical="center"/>
    </xf>
    <xf numFmtId="0" fontId="14" fillId="0" borderId="10" xfId="0" applyFont="1" applyBorder="1" applyAlignment="1" applyProtection="1">
      <alignment vertical="center"/>
    </xf>
    <xf numFmtId="170" fontId="5" fillId="0" borderId="4" xfId="0" applyNumberFormat="1" applyFont="1" applyFill="1" applyBorder="1" applyAlignment="1" applyProtection="1">
      <alignment vertical="center"/>
    </xf>
    <xf numFmtId="0" fontId="14" fillId="0" borderId="4" xfId="0" applyFont="1" applyBorder="1" applyAlignment="1" applyProtection="1">
      <alignment vertical="center"/>
    </xf>
    <xf numFmtId="169" fontId="5" fillId="0" borderId="0" xfId="0" applyNumberFormat="1" applyFont="1" applyFill="1" applyBorder="1" applyAlignment="1" applyProtection="1">
      <alignment vertical="center"/>
    </xf>
    <xf numFmtId="170" fontId="4" fillId="0" borderId="14" xfId="16" applyNumberFormat="1" applyFont="1" applyFill="1" applyBorder="1" applyAlignment="1" applyProtection="1">
      <alignment vertical="center"/>
    </xf>
    <xf numFmtId="170" fontId="4" fillId="0" borderId="10" xfId="0" applyNumberFormat="1" applyFont="1" applyBorder="1" applyAlignment="1" applyProtection="1">
      <alignment vertical="center"/>
    </xf>
    <xf numFmtId="170" fontId="4" fillId="0" borderId="10" xfId="0" applyNumberFormat="1" applyFont="1" applyBorder="1" applyAlignment="1" applyProtection="1">
      <alignment horizontal="center" vertical="center"/>
    </xf>
    <xf numFmtId="0" fontId="5" fillId="0" borderId="15" xfId="0" applyFont="1" applyFill="1" applyBorder="1" applyAlignment="1" applyProtection="1">
      <alignment vertical="center"/>
    </xf>
    <xf numFmtId="0" fontId="5" fillId="0" borderId="14" xfId="0" applyFont="1" applyFill="1" applyBorder="1" applyAlignment="1" applyProtection="1">
      <alignment vertical="center"/>
    </xf>
    <xf numFmtId="0" fontId="4" fillId="0" borderId="14" xfId="0" applyFont="1" applyFill="1" applyBorder="1" applyAlignment="1" applyProtection="1">
      <alignment horizontal="left" vertical="center"/>
    </xf>
    <xf numFmtId="9" fontId="4" fillId="0" borderId="14" xfId="0" applyNumberFormat="1" applyFont="1" applyFill="1" applyBorder="1" applyAlignment="1" applyProtection="1">
      <alignment vertical="center"/>
    </xf>
    <xf numFmtId="0" fontId="5" fillId="0" borderId="14" xfId="0" applyFont="1" applyFill="1" applyBorder="1" applyAlignment="1" applyProtection="1">
      <alignment horizontal="left" vertical="center"/>
    </xf>
    <xf numFmtId="0" fontId="32" fillId="0" borderId="14" xfId="0" applyFont="1" applyFill="1" applyBorder="1" applyAlignment="1" applyProtection="1">
      <alignment vertical="center"/>
    </xf>
    <xf numFmtId="0" fontId="23" fillId="0" borderId="14" xfId="0" applyFont="1" applyFill="1" applyBorder="1" applyAlignment="1" applyProtection="1">
      <alignment vertical="center"/>
    </xf>
    <xf numFmtId="170" fontId="23" fillId="0" borderId="14" xfId="0" applyNumberFormat="1" applyFont="1" applyFill="1" applyBorder="1" applyAlignment="1" applyProtection="1">
      <alignment vertical="center"/>
    </xf>
    <xf numFmtId="0" fontId="5" fillId="0" borderId="16" xfId="0" applyFont="1" applyFill="1" applyBorder="1" applyAlignment="1" applyProtection="1">
      <alignment vertical="center"/>
    </xf>
    <xf numFmtId="0" fontId="5" fillId="0" borderId="17" xfId="0" applyFont="1" applyFill="1" applyBorder="1" applyAlignment="1" applyProtection="1">
      <alignment vertical="center"/>
    </xf>
    <xf numFmtId="167" fontId="5" fillId="0" borderId="5" xfId="0" applyNumberFormat="1" applyFont="1" applyFill="1" applyBorder="1" applyAlignment="1" applyProtection="1">
      <alignment vertical="center"/>
    </xf>
    <xf numFmtId="0" fontId="6" fillId="0" borderId="0" xfId="0" applyFont="1" applyFill="1" applyBorder="1" applyAlignment="1" applyProtection="1">
      <alignment vertical="center"/>
    </xf>
    <xf numFmtId="0" fontId="5" fillId="0" borderId="0" xfId="0" applyFont="1" applyFill="1" applyBorder="1" applyAlignment="1" applyProtection="1">
      <alignment horizontal="right" vertical="center"/>
    </xf>
    <xf numFmtId="167" fontId="5" fillId="0" borderId="0" xfId="0" applyNumberFormat="1" applyFont="1" applyFill="1" applyBorder="1" applyAlignment="1" applyProtection="1">
      <alignment vertical="center"/>
    </xf>
    <xf numFmtId="0" fontId="5" fillId="0" borderId="14" xfId="0" applyFont="1" applyFill="1" applyBorder="1" applyAlignment="1" applyProtection="1">
      <alignment horizontal="right" vertical="center"/>
    </xf>
    <xf numFmtId="0" fontId="5" fillId="0" borderId="8" xfId="0" applyFont="1" applyFill="1" applyBorder="1" applyAlignment="1" applyProtection="1">
      <alignment vertical="center"/>
    </xf>
    <xf numFmtId="0" fontId="4" fillId="0" borderId="4" xfId="0" applyFont="1" applyBorder="1" applyAlignment="1" applyProtection="1">
      <alignment vertical="center"/>
    </xf>
    <xf numFmtId="0" fontId="4" fillId="0" borderId="4" xfId="0" applyFont="1" applyBorder="1" applyAlignment="1" applyProtection="1">
      <alignment horizontal="left" vertical="center"/>
    </xf>
    <xf numFmtId="0" fontId="7" fillId="0" borderId="4" xfId="0" applyFont="1" applyBorder="1" applyAlignment="1" applyProtection="1">
      <alignment horizontal="left" vertical="center"/>
    </xf>
    <xf numFmtId="0" fontId="6" fillId="0" borderId="4" xfId="0" applyFont="1" applyFill="1" applyBorder="1" applyAlignment="1" applyProtection="1">
      <alignment vertical="center"/>
    </xf>
    <xf numFmtId="167" fontId="5" fillId="0" borderId="4" xfId="0" applyNumberFormat="1" applyFont="1" applyFill="1" applyBorder="1" applyAlignment="1" applyProtection="1">
      <alignment vertical="center"/>
    </xf>
    <xf numFmtId="168" fontId="5" fillId="0" borderId="0" xfId="0" applyNumberFormat="1" applyFont="1" applyFill="1" applyBorder="1" applyAlignment="1" applyProtection="1">
      <alignment vertical="center"/>
    </xf>
    <xf numFmtId="168" fontId="4" fillId="0" borderId="0" xfId="0" applyNumberFormat="1" applyFont="1" applyFill="1" applyBorder="1" applyAlignment="1" applyProtection="1">
      <alignment vertical="center"/>
    </xf>
    <xf numFmtId="0" fontId="4" fillId="0" borderId="14" xfId="0" applyFont="1" applyBorder="1" applyAlignment="1" applyProtection="1">
      <alignment vertical="center"/>
    </xf>
    <xf numFmtId="0" fontId="5" fillId="0" borderId="4" xfId="0" applyFont="1" applyFill="1" applyBorder="1" applyAlignment="1" applyProtection="1">
      <alignment horizontal="left" vertical="center"/>
    </xf>
    <xf numFmtId="0" fontId="5" fillId="0" borderId="18" xfId="0" applyFont="1" applyFill="1" applyBorder="1" applyAlignment="1" applyProtection="1">
      <alignment vertical="center"/>
    </xf>
    <xf numFmtId="0" fontId="5" fillId="0" borderId="13" xfId="0" applyFont="1" applyFill="1" applyBorder="1" applyAlignment="1" applyProtection="1">
      <alignment vertical="center"/>
    </xf>
    <xf numFmtId="0" fontId="5" fillId="0" borderId="0" xfId="0" applyFont="1" applyFill="1" applyBorder="1" applyAlignment="1" applyProtection="1">
      <alignment horizontal="left" vertical="center"/>
    </xf>
    <xf numFmtId="9" fontId="5" fillId="0" borderId="0" xfId="0" applyNumberFormat="1" applyFont="1" applyFill="1" applyBorder="1" applyAlignment="1" applyProtection="1">
      <alignment vertical="center"/>
    </xf>
    <xf numFmtId="9" fontId="5" fillId="0" borderId="13" xfId="0" applyNumberFormat="1" applyFont="1" applyFill="1" applyBorder="1" applyAlignment="1" applyProtection="1">
      <alignment vertical="center"/>
    </xf>
    <xf numFmtId="167" fontId="5" fillId="0" borderId="13" xfId="0" applyNumberFormat="1" applyFont="1" applyFill="1" applyBorder="1" applyAlignment="1" applyProtection="1">
      <alignment vertical="center"/>
    </xf>
    <xf numFmtId="167" fontId="5" fillId="0" borderId="0" xfId="0" applyNumberFormat="1" applyFont="1" applyFill="1" applyBorder="1" applyAlignment="1" applyProtection="1">
      <alignment horizontal="left" vertical="center"/>
    </xf>
    <xf numFmtId="167" fontId="5" fillId="0" borderId="10" xfId="0" applyNumberFormat="1" applyFont="1" applyFill="1" applyBorder="1" applyAlignment="1" applyProtection="1">
      <alignment horizontal="left" vertical="center"/>
    </xf>
    <xf numFmtId="0" fontId="5" fillId="0" borderId="10" xfId="0" applyFont="1" applyFill="1" applyBorder="1" applyAlignment="1" applyProtection="1">
      <alignment horizontal="left" vertical="center"/>
    </xf>
    <xf numFmtId="167" fontId="5" fillId="0" borderId="10" xfId="0" applyNumberFormat="1" applyFont="1" applyFill="1" applyBorder="1" applyAlignment="1" applyProtection="1">
      <alignment vertical="center"/>
    </xf>
    <xf numFmtId="0" fontId="17" fillId="0" borderId="0" xfId="0" applyFont="1" applyBorder="1" applyAlignment="1" applyProtection="1">
      <alignment horizontal="right" vertical="center"/>
    </xf>
    <xf numFmtId="0" fontId="45" fillId="0" borderId="2" xfId="0" applyFont="1" applyFill="1" applyBorder="1" applyAlignment="1" applyProtection="1">
      <alignment vertical="center"/>
    </xf>
    <xf numFmtId="170" fontId="6" fillId="0" borderId="0" xfId="0" applyNumberFormat="1" applyFont="1" applyFill="1" applyBorder="1" applyAlignment="1" applyProtection="1">
      <alignment vertical="center"/>
    </xf>
    <xf numFmtId="0" fontId="33" fillId="0" borderId="0" xfId="0" applyFont="1" applyBorder="1" applyAlignment="1" applyProtection="1">
      <alignment horizontal="center" vertical="center"/>
    </xf>
    <xf numFmtId="167" fontId="6" fillId="0" borderId="0" xfId="0" applyNumberFormat="1" applyFont="1" applyFill="1" applyBorder="1" applyAlignment="1" applyProtection="1">
      <alignment vertical="center"/>
    </xf>
    <xf numFmtId="0" fontId="5" fillId="0" borderId="19" xfId="0" applyFont="1" applyFill="1" applyBorder="1" applyAlignment="1" applyProtection="1">
      <alignment vertical="center"/>
    </xf>
    <xf numFmtId="0" fontId="6" fillId="0" borderId="4" xfId="0" applyFont="1" applyFill="1" applyBorder="1" applyAlignment="1" applyProtection="1">
      <alignment horizontal="left" vertical="center"/>
    </xf>
    <xf numFmtId="0" fontId="5" fillId="0" borderId="4" xfId="0" applyFont="1" applyFill="1" applyBorder="1" applyAlignment="1" applyProtection="1">
      <alignment horizontal="center" vertical="center"/>
    </xf>
    <xf numFmtId="0" fontId="47" fillId="0" borderId="12" xfId="0" applyNumberFormat="1" applyFont="1" applyFill="1" applyBorder="1" applyAlignment="1" applyProtection="1">
      <alignment horizontal="center" vertical="center"/>
    </xf>
    <xf numFmtId="0" fontId="14" fillId="0" borderId="0" xfId="0" applyFont="1" applyBorder="1" applyAlignment="1">
      <alignment horizontal="center" vertical="center"/>
    </xf>
    <xf numFmtId="0" fontId="14" fillId="0" borderId="13" xfId="0" applyFont="1" applyBorder="1" applyAlignment="1">
      <alignment vertical="center"/>
    </xf>
    <xf numFmtId="0" fontId="14" fillId="0" borderId="20" xfId="0" applyFont="1" applyBorder="1" applyAlignment="1">
      <alignment vertical="center"/>
    </xf>
    <xf numFmtId="0" fontId="14" fillId="0" borderId="4" xfId="0" applyFont="1" applyBorder="1" applyAlignment="1">
      <alignment vertical="center"/>
    </xf>
    <xf numFmtId="0" fontId="17" fillId="0" borderId="21" xfId="0" applyFont="1" applyBorder="1" applyAlignment="1">
      <alignment horizontal="left" vertical="center"/>
    </xf>
    <xf numFmtId="1" fontId="14" fillId="0" borderId="4" xfId="0" applyNumberFormat="1" applyFont="1" applyBorder="1" applyAlignment="1">
      <alignment horizontal="left" vertical="center"/>
    </xf>
    <xf numFmtId="0" fontId="14" fillId="0" borderId="22" xfId="0" applyFont="1" applyBorder="1" applyAlignment="1">
      <alignment vertical="center"/>
    </xf>
    <xf numFmtId="0" fontId="14" fillId="0" borderId="2" xfId="0" applyFont="1" applyBorder="1" applyAlignment="1">
      <alignment horizontal="right" vertical="center"/>
    </xf>
    <xf numFmtId="0" fontId="14" fillId="0" borderId="0" xfId="0" applyFont="1" applyBorder="1" applyAlignment="1">
      <alignment horizontal="right" vertical="center"/>
    </xf>
    <xf numFmtId="1" fontId="14" fillId="0" borderId="0" xfId="0" applyNumberFormat="1" applyFont="1" applyBorder="1" applyAlignment="1">
      <alignment horizontal="left" vertical="center"/>
    </xf>
    <xf numFmtId="0" fontId="17" fillId="0" borderId="23" xfId="0" applyFont="1" applyBorder="1" applyAlignment="1">
      <alignment horizontal="left" vertical="center"/>
    </xf>
    <xf numFmtId="0" fontId="14" fillId="0" borderId="16" xfId="0" applyFont="1" applyBorder="1" applyAlignment="1">
      <alignment vertical="center"/>
    </xf>
    <xf numFmtId="0" fontId="14" fillId="0" borderId="24" xfId="0" applyFont="1" applyBorder="1" applyAlignment="1">
      <alignment vertical="center"/>
    </xf>
    <xf numFmtId="0" fontId="14" fillId="0" borderId="12" xfId="0" applyFont="1" applyBorder="1" applyAlignment="1">
      <alignment vertical="center" wrapText="1"/>
    </xf>
    <xf numFmtId="0" fontId="14" fillId="0" borderId="26" xfId="0" applyFont="1" applyBorder="1" applyAlignment="1">
      <alignment vertical="center" wrapText="1"/>
    </xf>
    <xf numFmtId="14" fontId="20" fillId="2" borderId="27" xfId="0" applyNumberFormat="1" applyFont="1" applyFill="1" applyBorder="1" applyAlignment="1" applyProtection="1">
      <alignment vertical="center"/>
      <protection locked="0"/>
    </xf>
    <xf numFmtId="0" fontId="20" fillId="2" borderId="28" xfId="0" applyFont="1" applyFill="1" applyBorder="1" applyAlignment="1" applyProtection="1">
      <alignment vertical="center"/>
      <protection locked="0"/>
    </xf>
    <xf numFmtId="0" fontId="20" fillId="2" borderId="17" xfId="0" applyFont="1" applyFill="1" applyBorder="1" applyAlignment="1" applyProtection="1">
      <alignment vertical="center"/>
      <protection locked="0"/>
    </xf>
    <xf numFmtId="0" fontId="20" fillId="2" borderId="29" xfId="0" applyFont="1" applyFill="1" applyBorder="1" applyAlignment="1" applyProtection="1">
      <alignment vertical="center"/>
      <protection locked="0"/>
    </xf>
    <xf numFmtId="0" fontId="20" fillId="2" borderId="30" xfId="0" applyFont="1" applyFill="1" applyBorder="1" applyAlignment="1" applyProtection="1">
      <alignment vertical="center"/>
      <protection locked="0"/>
    </xf>
    <xf numFmtId="0" fontId="20" fillId="2" borderId="31" xfId="0" applyFont="1" applyFill="1" applyBorder="1" applyAlignment="1" applyProtection="1">
      <alignment vertical="center"/>
      <protection locked="0"/>
    </xf>
    <xf numFmtId="0" fontId="20" fillId="2" borderId="32" xfId="0" applyFont="1" applyFill="1" applyBorder="1" applyAlignment="1" applyProtection="1">
      <alignment vertical="center"/>
      <protection locked="0"/>
    </xf>
    <xf numFmtId="0" fontId="20" fillId="2" borderId="33" xfId="0" applyFont="1" applyFill="1" applyBorder="1" applyAlignment="1" applyProtection="1">
      <alignment vertical="center"/>
      <protection locked="0"/>
    </xf>
    <xf numFmtId="0" fontId="20" fillId="2" borderId="34" xfId="0" applyFont="1" applyFill="1" applyBorder="1" applyAlignment="1" applyProtection="1">
      <alignment vertical="center"/>
      <protection locked="0"/>
    </xf>
    <xf numFmtId="0" fontId="20" fillId="2" borderId="6" xfId="0" applyFont="1" applyFill="1" applyBorder="1" applyAlignment="1" applyProtection="1">
      <alignment vertical="center"/>
      <protection locked="0"/>
    </xf>
    <xf numFmtId="0" fontId="20" fillId="2" borderId="35" xfId="0" applyFont="1" applyFill="1" applyBorder="1" applyAlignment="1" applyProtection="1">
      <alignment vertical="center"/>
      <protection locked="0"/>
    </xf>
    <xf numFmtId="0" fontId="20" fillId="2" borderId="36" xfId="0" applyFont="1" applyFill="1" applyBorder="1" applyAlignment="1" applyProtection="1">
      <alignment vertical="center"/>
      <protection locked="0"/>
    </xf>
    <xf numFmtId="0" fontId="7" fillId="0" borderId="38" xfId="0" applyFont="1" applyBorder="1" applyAlignment="1">
      <alignment horizontal="right" vertical="center"/>
    </xf>
    <xf numFmtId="0" fontId="14" fillId="0" borderId="2" xfId="0" applyFont="1" applyBorder="1" applyAlignment="1">
      <alignment vertical="center"/>
    </xf>
    <xf numFmtId="0" fontId="14" fillId="0" borderId="37" xfId="0" applyFont="1" applyBorder="1" applyAlignment="1">
      <alignment vertical="center"/>
    </xf>
    <xf numFmtId="0" fontId="14" fillId="0" borderId="39" xfId="0" applyFont="1" applyBorder="1" applyAlignment="1">
      <alignment vertical="center"/>
    </xf>
    <xf numFmtId="0" fontId="20" fillId="2" borderId="16" xfId="0" applyFont="1" applyFill="1" applyBorder="1" applyAlignment="1" applyProtection="1">
      <alignment vertical="center"/>
      <protection locked="0"/>
    </xf>
    <xf numFmtId="0" fontId="20" fillId="2" borderId="40" xfId="0" applyFont="1" applyFill="1" applyBorder="1" applyAlignment="1" applyProtection="1">
      <alignment vertical="center"/>
      <protection locked="0"/>
    </xf>
    <xf numFmtId="0" fontId="20" fillId="2" borderId="10" xfId="0" applyFont="1" applyFill="1" applyBorder="1" applyAlignment="1" applyProtection="1">
      <alignment vertical="center"/>
      <protection locked="0"/>
    </xf>
    <xf numFmtId="0" fontId="7" fillId="0" borderId="2" xfId="0" applyFont="1" applyBorder="1" applyAlignment="1">
      <alignment horizontal="right" vertical="center"/>
    </xf>
    <xf numFmtId="0" fontId="7" fillId="0" borderId="0" xfId="0" applyFont="1" applyBorder="1" applyAlignment="1">
      <alignment horizontal="right" vertical="center"/>
    </xf>
    <xf numFmtId="0" fontId="20" fillId="2" borderId="42" xfId="0" applyFont="1" applyFill="1" applyBorder="1" applyAlignment="1" applyProtection="1">
      <alignment vertical="center"/>
      <protection locked="0"/>
    </xf>
    <xf numFmtId="0" fontId="20" fillId="2" borderId="43" xfId="0" applyFont="1" applyFill="1" applyBorder="1" applyAlignment="1" applyProtection="1">
      <alignment vertical="center"/>
      <protection locked="0"/>
    </xf>
    <xf numFmtId="0" fontId="20" fillId="2" borderId="44" xfId="0" applyFont="1" applyFill="1" applyBorder="1" applyAlignment="1" applyProtection="1">
      <alignment vertical="center"/>
      <protection locked="0"/>
    </xf>
    <xf numFmtId="0" fontId="5" fillId="2" borderId="29" xfId="0" applyFont="1" applyFill="1" applyBorder="1" applyAlignment="1" applyProtection="1">
      <alignment vertical="center"/>
    </xf>
    <xf numFmtId="0" fontId="5" fillId="2" borderId="33" xfId="0" applyFont="1" applyFill="1" applyBorder="1" applyAlignment="1" applyProtection="1">
      <alignment vertical="center"/>
    </xf>
    <xf numFmtId="0" fontId="20" fillId="0" borderId="0" xfId="0" applyFont="1" applyBorder="1" applyAlignment="1" applyProtection="1">
      <alignment vertical="center"/>
      <protection locked="0"/>
    </xf>
    <xf numFmtId="0" fontId="7" fillId="0" borderId="4" xfId="0" applyFont="1" applyBorder="1" applyAlignment="1">
      <alignment horizontal="right" vertical="center"/>
    </xf>
    <xf numFmtId="0" fontId="7" fillId="0" borderId="13" xfId="0" applyFont="1" applyBorder="1" applyAlignment="1">
      <alignment horizontal="right" vertical="center"/>
    </xf>
    <xf numFmtId="0" fontId="7" fillId="0" borderId="8" xfId="0" applyFont="1" applyBorder="1" applyAlignment="1">
      <alignment horizontal="right" vertical="center"/>
    </xf>
    <xf numFmtId="0" fontId="15" fillId="0" borderId="0" xfId="0" applyFont="1" applyBorder="1" applyAlignment="1">
      <alignment vertical="center"/>
    </xf>
    <xf numFmtId="0" fontId="14" fillId="0" borderId="8" xfId="0" applyFont="1" applyBorder="1" applyAlignment="1">
      <alignment vertical="center"/>
    </xf>
    <xf numFmtId="0" fontId="17" fillId="0" borderId="11" xfId="0" applyFont="1" applyBorder="1" applyAlignment="1">
      <alignment vertical="center"/>
    </xf>
    <xf numFmtId="14" fontId="20" fillId="2" borderId="45" xfId="0" applyNumberFormat="1" applyFont="1" applyFill="1" applyBorder="1" applyAlignment="1" applyProtection="1">
      <alignment vertical="center"/>
      <protection locked="0"/>
    </xf>
    <xf numFmtId="0" fontId="20" fillId="2" borderId="46" xfId="0" applyFont="1" applyFill="1" applyBorder="1" applyAlignment="1" applyProtection="1">
      <alignment vertical="center"/>
      <protection locked="0"/>
    </xf>
    <xf numFmtId="44" fontId="20" fillId="2" borderId="48" xfId="1" applyFont="1" applyFill="1" applyBorder="1" applyAlignment="1" applyProtection="1">
      <alignment vertical="center"/>
      <protection locked="0"/>
    </xf>
    <xf numFmtId="0" fontId="20" fillId="2" borderId="49" xfId="0" applyFont="1" applyFill="1" applyBorder="1" applyAlignment="1" applyProtection="1">
      <alignment vertical="center"/>
      <protection locked="0"/>
    </xf>
    <xf numFmtId="0" fontId="20" fillId="2" borderId="50" xfId="0" applyFont="1" applyFill="1" applyBorder="1" applyAlignment="1" applyProtection="1">
      <alignment vertical="center"/>
      <protection locked="0"/>
    </xf>
    <xf numFmtId="0" fontId="14" fillId="0" borderId="0" xfId="0" applyFont="1" applyFill="1" applyBorder="1" applyAlignment="1">
      <alignment horizontal="right" vertical="center"/>
    </xf>
    <xf numFmtId="0" fontId="14" fillId="0" borderId="9" xfId="0" applyFont="1" applyBorder="1" applyAlignment="1">
      <alignment horizontal="right" vertical="center"/>
    </xf>
    <xf numFmtId="0" fontId="16" fillId="0" borderId="0" xfId="0" applyFont="1" applyBorder="1" applyAlignment="1">
      <alignment vertical="center"/>
    </xf>
    <xf numFmtId="0" fontId="16" fillId="0" borderId="2" xfId="0" applyFont="1" applyBorder="1" applyAlignment="1">
      <alignment vertical="center"/>
    </xf>
    <xf numFmtId="0" fontId="17" fillId="0" borderId="0" xfId="0" applyFont="1" applyBorder="1" applyAlignment="1">
      <alignment horizontal="right" vertical="center"/>
    </xf>
    <xf numFmtId="0" fontId="16" fillId="0" borderId="0" xfId="0" applyFont="1" applyBorder="1" applyAlignment="1">
      <alignment horizontal="left" vertical="center"/>
    </xf>
    <xf numFmtId="0" fontId="16" fillId="0" borderId="0" xfId="0" applyFont="1" applyBorder="1" applyAlignment="1">
      <alignment horizontal="right" vertical="center"/>
    </xf>
    <xf numFmtId="0" fontId="17" fillId="0" borderId="2" xfId="0" applyFont="1" applyBorder="1" applyAlignment="1">
      <alignment horizontal="right" vertical="center"/>
    </xf>
    <xf numFmtId="14" fontId="16" fillId="2" borderId="12" xfId="0" applyNumberFormat="1" applyFont="1" applyFill="1" applyBorder="1" applyAlignment="1" applyProtection="1">
      <alignment vertical="center"/>
      <protection locked="0"/>
    </xf>
    <xf numFmtId="0" fontId="16" fillId="2" borderId="12" xfId="0" applyFont="1" applyFill="1" applyBorder="1" applyAlignment="1" applyProtection="1">
      <alignment vertical="center"/>
      <protection locked="0"/>
    </xf>
    <xf numFmtId="0" fontId="16" fillId="0" borderId="8" xfId="0" applyFont="1" applyBorder="1" applyAlignment="1">
      <alignment vertical="center"/>
    </xf>
    <xf numFmtId="0" fontId="16" fillId="0" borderId="4" xfId="0" applyFont="1" applyBorder="1" applyAlignment="1">
      <alignment vertical="center"/>
    </xf>
    <xf numFmtId="0" fontId="16" fillId="0" borderId="22" xfId="0" applyFont="1" applyBorder="1" applyAlignment="1">
      <alignment vertical="center"/>
    </xf>
    <xf numFmtId="0" fontId="16" fillId="0" borderId="37" xfId="0" applyFont="1" applyBorder="1" applyAlignment="1">
      <alignment vertical="center"/>
    </xf>
    <xf numFmtId="14" fontId="22" fillId="2" borderId="27" xfId="0" applyNumberFormat="1" applyFont="1" applyFill="1" applyBorder="1" applyAlignment="1" applyProtection="1">
      <alignment vertical="center"/>
      <protection locked="0"/>
    </xf>
    <xf numFmtId="0" fontId="22" fillId="2" borderId="52" xfId="0" applyFont="1" applyFill="1" applyBorder="1" applyAlignment="1" applyProtection="1">
      <alignment vertical="center"/>
      <protection locked="0"/>
    </xf>
    <xf numFmtId="0" fontId="22" fillId="2" borderId="28" xfId="0" applyFont="1" applyFill="1" applyBorder="1" applyAlignment="1" applyProtection="1">
      <alignment vertical="center"/>
      <protection locked="0"/>
    </xf>
    <xf numFmtId="14" fontId="22" fillId="2" borderId="30" xfId="0" applyNumberFormat="1" applyFont="1" applyFill="1" applyBorder="1" applyAlignment="1" applyProtection="1">
      <alignment vertical="center"/>
      <protection locked="0"/>
    </xf>
    <xf numFmtId="0" fontId="22" fillId="2" borderId="32" xfId="0" applyFont="1" applyFill="1" applyBorder="1" applyAlignment="1" applyProtection="1">
      <alignment vertical="center"/>
      <protection locked="0"/>
    </xf>
    <xf numFmtId="0" fontId="22" fillId="2" borderId="31" xfId="0" applyFont="1" applyFill="1" applyBorder="1" applyAlignment="1" applyProtection="1">
      <alignment vertical="center"/>
      <protection locked="0"/>
    </xf>
    <xf numFmtId="0" fontId="22" fillId="2" borderId="30" xfId="0" applyFont="1" applyFill="1" applyBorder="1" applyAlignment="1" applyProtection="1">
      <alignment vertical="center"/>
      <protection locked="0"/>
    </xf>
    <xf numFmtId="0" fontId="17" fillId="0" borderId="29" xfId="0" applyFont="1" applyBorder="1" applyAlignment="1">
      <alignment horizontal="right" vertical="center"/>
    </xf>
    <xf numFmtId="0" fontId="17" fillId="0" borderId="11" xfId="0" applyFont="1" applyBorder="1" applyAlignment="1">
      <alignment horizontal="right" vertical="center"/>
    </xf>
    <xf numFmtId="0" fontId="17" fillId="0" borderId="16" xfId="0" applyFont="1" applyBorder="1" applyAlignment="1">
      <alignment horizontal="right" vertical="center"/>
    </xf>
    <xf numFmtId="0" fontId="22" fillId="2" borderId="34" xfId="0" applyFont="1" applyFill="1" applyBorder="1" applyAlignment="1" applyProtection="1">
      <alignment vertical="center"/>
      <protection locked="0"/>
    </xf>
    <xf numFmtId="0" fontId="22" fillId="2" borderId="35" xfId="0" applyFont="1" applyFill="1" applyBorder="1" applyAlignment="1" applyProtection="1">
      <alignment vertical="center"/>
      <protection locked="0"/>
    </xf>
    <xf numFmtId="0" fontId="22" fillId="2" borderId="6" xfId="0" applyFont="1" applyFill="1" applyBorder="1" applyAlignment="1" applyProtection="1">
      <alignment vertical="center"/>
      <protection locked="0"/>
    </xf>
    <xf numFmtId="0" fontId="17" fillId="0" borderId="4" xfId="0" applyFont="1" applyBorder="1" applyAlignment="1">
      <alignment horizontal="right" vertical="center"/>
    </xf>
    <xf numFmtId="0" fontId="14" fillId="0" borderId="5" xfId="0" applyFont="1" applyBorder="1" applyAlignment="1">
      <alignment horizontal="center" vertical="center"/>
    </xf>
    <xf numFmtId="0" fontId="14" fillId="0" borderId="18" xfId="0" applyFont="1" applyBorder="1" applyAlignment="1">
      <alignment vertical="center"/>
    </xf>
    <xf numFmtId="0" fontId="14" fillId="0" borderId="12" xfId="0" applyFont="1" applyBorder="1" applyAlignment="1">
      <alignment vertical="center"/>
    </xf>
    <xf numFmtId="0" fontId="14" fillId="0" borderId="37" xfId="0" applyFont="1" applyBorder="1" applyAlignment="1">
      <alignment horizontal="left" vertical="center"/>
    </xf>
    <xf numFmtId="0" fontId="19" fillId="0" borderId="13" xfId="0" applyFont="1" applyBorder="1" applyAlignment="1">
      <alignment horizontal="center" vertical="center"/>
    </xf>
    <xf numFmtId="0" fontId="31" fillId="0" borderId="18" xfId="0" applyFont="1" applyBorder="1" applyAlignment="1">
      <alignment vertical="center"/>
    </xf>
    <xf numFmtId="0" fontId="19" fillId="0" borderId="20" xfId="0" applyFont="1" applyBorder="1" applyAlignment="1">
      <alignment horizontal="center" vertical="center"/>
    </xf>
    <xf numFmtId="0" fontId="41" fillId="0" borderId="0" xfId="0" applyFont="1" applyBorder="1" applyAlignment="1">
      <alignment vertical="center"/>
    </xf>
    <xf numFmtId="0" fontId="19" fillId="0" borderId="2" xfId="0" applyFont="1" applyBorder="1" applyAlignment="1">
      <alignment vertical="center"/>
    </xf>
    <xf numFmtId="0" fontId="19" fillId="0" borderId="0" xfId="0" applyFont="1" applyBorder="1" applyAlignment="1">
      <alignment vertical="center"/>
    </xf>
    <xf numFmtId="0" fontId="14" fillId="0" borderId="0" xfId="0" applyFont="1" applyFill="1" applyBorder="1" applyAlignment="1">
      <alignment vertical="center"/>
    </xf>
    <xf numFmtId="49" fontId="14" fillId="0" borderId="5" xfId="0" applyNumberFormat="1" applyFont="1" applyBorder="1" applyAlignment="1" applyProtection="1">
      <alignment vertical="center"/>
      <protection locked="0"/>
    </xf>
    <xf numFmtId="0" fontId="7" fillId="0" borderId="61" xfId="0" applyFont="1" applyBorder="1" applyAlignment="1" applyProtection="1">
      <alignment horizontal="center" vertical="center" wrapText="1"/>
    </xf>
    <xf numFmtId="0" fontId="7" fillId="0" borderId="62" xfId="0" applyFont="1" applyBorder="1" applyAlignment="1" applyProtection="1">
      <alignment horizontal="center" vertical="center" wrapText="1"/>
    </xf>
    <xf numFmtId="49" fontId="7" fillId="0" borderId="34" xfId="0" applyNumberFormat="1" applyFont="1" applyFill="1" applyBorder="1" applyAlignment="1" applyProtection="1">
      <alignment horizontal="center" vertical="center"/>
    </xf>
    <xf numFmtId="49" fontId="7" fillId="0" borderId="63" xfId="0" applyNumberFormat="1" applyFont="1" applyFill="1" applyBorder="1" applyAlignment="1" applyProtection="1">
      <alignment horizontal="center" vertical="center" wrapText="1"/>
    </xf>
    <xf numFmtId="49" fontId="7" fillId="0" borderId="25" xfId="0" applyNumberFormat="1" applyFont="1" applyBorder="1" applyAlignment="1" applyProtection="1">
      <alignment horizontal="center" vertical="center"/>
    </xf>
    <xf numFmtId="49" fontId="7" fillId="0" borderId="34" xfId="0" applyNumberFormat="1" applyFont="1" applyBorder="1" applyAlignment="1" applyProtection="1">
      <alignment horizontal="center" vertical="center"/>
    </xf>
    <xf numFmtId="0" fontId="14" fillId="0" borderId="64" xfId="0" applyFont="1" applyBorder="1" applyAlignment="1" applyProtection="1">
      <alignment vertical="center"/>
    </xf>
    <xf numFmtId="49" fontId="7" fillId="0" borderId="61" xfId="0" applyNumberFormat="1" applyFont="1" applyBorder="1" applyAlignment="1" applyProtection="1">
      <alignment vertical="center"/>
    </xf>
    <xf numFmtId="170" fontId="7" fillId="0" borderId="62" xfId="0" applyNumberFormat="1" applyFont="1" applyBorder="1" applyAlignment="1" applyProtection="1">
      <alignment vertical="center"/>
    </xf>
    <xf numFmtId="170" fontId="7" fillId="0" borderId="65" xfId="0" applyNumberFormat="1" applyFont="1" applyBorder="1" applyAlignment="1" applyProtection="1">
      <alignment vertical="center"/>
    </xf>
    <xf numFmtId="0" fontId="51" fillId="0" borderId="13" xfId="0" applyFont="1" applyBorder="1" applyAlignment="1">
      <alignment horizontal="left" vertical="center"/>
    </xf>
    <xf numFmtId="0" fontId="7" fillId="0" borderId="66" xfId="0" applyFont="1" applyBorder="1" applyAlignment="1" applyProtection="1">
      <alignment horizontal="center" vertical="center" wrapText="1"/>
    </xf>
    <xf numFmtId="49" fontId="7" fillId="0" borderId="66" xfId="0" applyNumberFormat="1" applyFont="1" applyBorder="1" applyAlignment="1" applyProtection="1">
      <alignment vertical="center"/>
    </xf>
    <xf numFmtId="49" fontId="7" fillId="0" borderId="67" xfId="0" applyNumberFormat="1" applyFont="1" applyFill="1" applyBorder="1" applyAlignment="1" applyProtection="1">
      <alignment horizontal="center" vertical="center" wrapText="1"/>
    </xf>
    <xf numFmtId="15" fontId="7" fillId="3" borderId="43" xfId="0" applyNumberFormat="1" applyFont="1" applyFill="1" applyBorder="1" applyAlignment="1" applyProtection="1">
      <alignment horizontal="center" vertical="center"/>
      <protection locked="0"/>
    </xf>
    <xf numFmtId="15" fontId="7" fillId="3" borderId="29" xfId="0" applyNumberFormat="1" applyFont="1" applyFill="1" applyBorder="1" applyAlignment="1" applyProtection="1">
      <alignment horizontal="center" vertical="center"/>
      <protection locked="0"/>
    </xf>
    <xf numFmtId="0" fontId="29" fillId="0" borderId="11" xfId="0" applyFont="1" applyFill="1" applyBorder="1" applyAlignment="1" applyProtection="1">
      <alignment horizontal="left" vertical="center"/>
    </xf>
    <xf numFmtId="0" fontId="14" fillId="0" borderId="16" xfId="0" applyFont="1" applyFill="1" applyBorder="1" applyAlignment="1" applyProtection="1">
      <alignment vertical="center"/>
    </xf>
    <xf numFmtId="0" fontId="25" fillId="0" borderId="43" xfId="0" applyFont="1" applyFill="1" applyBorder="1" applyAlignment="1" applyProtection="1">
      <alignment vertical="center"/>
    </xf>
    <xf numFmtId="0" fontId="5" fillId="0" borderId="68" xfId="0" applyFont="1" applyFill="1" applyBorder="1" applyAlignment="1" applyProtection="1">
      <alignment vertical="center"/>
    </xf>
    <xf numFmtId="0" fontId="40" fillId="0" borderId="68" xfId="0" applyFont="1" applyFill="1" applyBorder="1" applyAlignment="1" applyProtection="1">
      <alignment vertical="center"/>
    </xf>
    <xf numFmtId="0" fontId="52" fillId="0" borderId="0" xfId="0" applyFont="1" applyFill="1" applyBorder="1" applyAlignment="1" applyProtection="1">
      <alignment vertical="center"/>
    </xf>
    <xf numFmtId="0" fontId="32" fillId="0" borderId="0" xfId="0" applyFont="1" applyFill="1" applyBorder="1" applyAlignment="1" applyProtection="1">
      <alignment horizontal="left" vertical="center"/>
    </xf>
    <xf numFmtId="0" fontId="32" fillId="0" borderId="0" xfId="0" applyFont="1" applyFill="1" applyBorder="1" applyAlignment="1" applyProtection="1">
      <alignment vertical="center"/>
    </xf>
    <xf numFmtId="0" fontId="55" fillId="0" borderId="0" xfId="0" applyFont="1"/>
    <xf numFmtId="0" fontId="14" fillId="0" borderId="6" xfId="0" applyFont="1" applyFill="1" applyBorder="1" applyAlignment="1" applyProtection="1">
      <alignment vertical="center"/>
    </xf>
    <xf numFmtId="0" fontId="15" fillId="0" borderId="68" xfId="0" applyFont="1" applyBorder="1" applyAlignment="1">
      <alignment horizontal="left" vertical="center"/>
    </xf>
    <xf numFmtId="0" fontId="16" fillId="0" borderId="70" xfId="0" applyFont="1" applyBorder="1" applyAlignment="1" applyProtection="1">
      <alignment horizontal="right" vertical="center"/>
    </xf>
    <xf numFmtId="173" fontId="34" fillId="0" borderId="60" xfId="0" applyNumberFormat="1" applyFont="1" applyBorder="1" applyAlignment="1" applyProtection="1">
      <alignment vertical="center"/>
    </xf>
    <xf numFmtId="0" fontId="5" fillId="0" borderId="42" xfId="0" applyFont="1" applyFill="1" applyBorder="1" applyAlignment="1" applyProtection="1">
      <alignment vertical="center"/>
    </xf>
    <xf numFmtId="0" fontId="17" fillId="0" borderId="4" xfId="0" applyFont="1" applyBorder="1" applyAlignment="1" applyProtection="1">
      <alignment horizontal="left" vertical="center"/>
    </xf>
    <xf numFmtId="0" fontId="5" fillId="0" borderId="13" xfId="0" applyFont="1" applyFill="1" applyBorder="1" applyAlignment="1" applyProtection="1">
      <alignment horizontal="center" vertical="center"/>
    </xf>
    <xf numFmtId="0" fontId="5" fillId="0" borderId="56" xfId="0" applyFont="1" applyFill="1" applyBorder="1" applyAlignment="1" applyProtection="1">
      <alignment vertical="center"/>
    </xf>
    <xf numFmtId="0" fontId="5" fillId="0" borderId="1" xfId="0" applyFont="1" applyFill="1" applyBorder="1" applyAlignment="1" applyProtection="1">
      <alignment vertical="center"/>
    </xf>
    <xf numFmtId="0" fontId="5" fillId="0" borderId="71" xfId="0" applyFont="1" applyFill="1" applyBorder="1" applyAlignment="1" applyProtection="1">
      <alignment vertical="center"/>
    </xf>
    <xf numFmtId="0" fontId="16" fillId="0" borderId="0" xfId="0" applyFont="1" applyFill="1" applyBorder="1" applyAlignment="1" applyProtection="1">
      <alignment horizontal="center" vertical="center"/>
    </xf>
    <xf numFmtId="9" fontId="16" fillId="0" borderId="0" xfId="0" applyNumberFormat="1" applyFont="1" applyFill="1" applyBorder="1" applyAlignment="1" applyProtection="1">
      <alignment vertical="center"/>
    </xf>
    <xf numFmtId="0" fontId="16" fillId="0" borderId="0" xfId="0" applyFont="1" applyFill="1" applyBorder="1" applyAlignment="1" applyProtection="1">
      <alignment horizontal="left" vertical="center"/>
    </xf>
    <xf numFmtId="170" fontId="16" fillId="0" borderId="0" xfId="0" applyNumberFormat="1" applyFont="1" applyFill="1" applyBorder="1" applyAlignment="1" applyProtection="1">
      <alignment vertical="center"/>
    </xf>
    <xf numFmtId="10" fontId="16" fillId="0" borderId="0" xfId="16" applyNumberFormat="1" applyFont="1" applyFill="1" applyBorder="1" applyAlignment="1" applyProtection="1">
      <alignment vertical="center"/>
    </xf>
    <xf numFmtId="170" fontId="16" fillId="0" borderId="0" xfId="0" applyNumberFormat="1" applyFont="1" applyFill="1" applyBorder="1" applyAlignment="1" applyProtection="1">
      <alignment horizontal="left" vertical="center"/>
    </xf>
    <xf numFmtId="9" fontId="16" fillId="0" borderId="2" xfId="0" applyNumberFormat="1" applyFont="1" applyFill="1" applyBorder="1" applyAlignment="1" applyProtection="1">
      <alignment vertical="center"/>
    </xf>
    <xf numFmtId="170" fontId="16" fillId="0" borderId="0" xfId="0" applyNumberFormat="1" applyFont="1" applyFill="1" applyBorder="1" applyAlignment="1" applyProtection="1">
      <alignment horizontal="center" vertical="center"/>
    </xf>
    <xf numFmtId="170" fontId="17" fillId="0" borderId="0" xfId="0" applyNumberFormat="1" applyFont="1" applyFill="1" applyBorder="1" applyAlignment="1" applyProtection="1">
      <alignment vertical="center"/>
    </xf>
    <xf numFmtId="0" fontId="34" fillId="0" borderId="0" xfId="0" applyFont="1" applyBorder="1" applyAlignment="1">
      <alignment horizontal="left" vertical="center"/>
    </xf>
    <xf numFmtId="0" fontId="17" fillId="0" borderId="2" xfId="0" applyFont="1" applyFill="1" applyBorder="1" applyAlignment="1" applyProtection="1">
      <alignment vertical="center"/>
    </xf>
    <xf numFmtId="170" fontId="4" fillId="0" borderId="10" xfId="0" applyNumberFormat="1" applyFont="1" applyFill="1" applyBorder="1" applyAlignment="1" applyProtection="1">
      <alignment vertical="center"/>
    </xf>
    <xf numFmtId="0" fontId="17" fillId="0" borderId="4" xfId="0" applyFont="1" applyBorder="1" applyAlignment="1" applyProtection="1">
      <alignment horizontal="right" vertical="center"/>
    </xf>
    <xf numFmtId="170" fontId="4" fillId="0" borderId="0" xfId="0" applyNumberFormat="1" applyFont="1" applyBorder="1" applyAlignment="1" applyProtection="1">
      <alignment horizontal="center" vertical="center"/>
    </xf>
    <xf numFmtId="10" fontId="4" fillId="0" borderId="0" xfId="16" applyNumberFormat="1" applyFont="1" applyFill="1" applyBorder="1" applyAlignment="1" applyProtection="1">
      <alignment vertical="center"/>
    </xf>
    <xf numFmtId="0" fontId="4" fillId="0" borderId="2" xfId="0" applyFont="1" applyBorder="1" applyAlignment="1" applyProtection="1">
      <alignment vertical="center"/>
    </xf>
    <xf numFmtId="49" fontId="17" fillId="0" borderId="0" xfId="0" applyNumberFormat="1" applyFont="1" applyBorder="1" applyAlignment="1" applyProtection="1">
      <alignment horizontal="right" vertical="center"/>
    </xf>
    <xf numFmtId="170" fontId="16" fillId="0" borderId="0" xfId="0" quotePrefix="1" applyNumberFormat="1" applyFont="1" applyFill="1" applyBorder="1" applyAlignment="1" applyProtection="1">
      <alignment horizontal="right" vertical="center"/>
    </xf>
    <xf numFmtId="170" fontId="4" fillId="0" borderId="0" xfId="0" applyNumberFormat="1" applyFont="1" applyFill="1" applyBorder="1" applyAlignment="1" applyProtection="1">
      <alignment horizontal="right" vertical="center"/>
    </xf>
    <xf numFmtId="0" fontId="4" fillId="0" borderId="0" xfId="0" applyFont="1" applyBorder="1"/>
    <xf numFmtId="173" fontId="30" fillId="0" borderId="0" xfId="15" applyNumberFormat="1" applyFont="1" applyBorder="1" applyProtection="1">
      <protection locked="0"/>
    </xf>
    <xf numFmtId="0" fontId="60" fillId="0" borderId="0" xfId="0" applyFont="1"/>
    <xf numFmtId="9" fontId="5" fillId="0" borderId="0" xfId="16" applyFont="1" applyFill="1" applyBorder="1" applyAlignment="1" applyProtection="1">
      <alignment horizontal="center" vertical="center"/>
    </xf>
    <xf numFmtId="9" fontId="4" fillId="0" borderId="0" xfId="0" applyNumberFormat="1" applyFont="1" applyFill="1" applyBorder="1" applyAlignment="1" applyProtection="1">
      <alignment horizontal="center" vertical="center"/>
    </xf>
    <xf numFmtId="168" fontId="4" fillId="0" borderId="0" xfId="0" applyNumberFormat="1" applyFont="1" applyFill="1" applyBorder="1" applyAlignment="1" applyProtection="1">
      <alignment horizontal="center" vertical="center"/>
    </xf>
    <xf numFmtId="0" fontId="4" fillId="0" borderId="2" xfId="0" applyFont="1" applyFill="1" applyBorder="1" applyAlignment="1" applyProtection="1">
      <alignment horizontal="left" vertical="center" wrapText="1"/>
    </xf>
    <xf numFmtId="0" fontId="29" fillId="2" borderId="44" xfId="0" applyFont="1" applyFill="1" applyBorder="1" applyAlignment="1" applyProtection="1">
      <alignment horizontal="center" vertical="center"/>
      <protection locked="0"/>
    </xf>
    <xf numFmtId="0" fontId="43" fillId="0" borderId="72" xfId="0" applyFont="1" applyFill="1" applyBorder="1" applyAlignment="1" applyProtection="1">
      <alignment horizontal="center" vertical="center"/>
    </xf>
    <xf numFmtId="0" fontId="7" fillId="0" borderId="18" xfId="0" applyFont="1" applyFill="1" applyBorder="1" applyAlignment="1" applyProtection="1">
      <alignment horizontal="left" vertical="center"/>
    </xf>
    <xf numFmtId="0" fontId="7" fillId="0" borderId="2" xfId="0" applyFont="1" applyFill="1" applyBorder="1" applyAlignment="1" applyProtection="1">
      <alignment vertical="center"/>
    </xf>
    <xf numFmtId="170" fontId="4" fillId="0" borderId="0" xfId="0" quotePrefix="1" applyNumberFormat="1" applyFont="1" applyBorder="1" applyAlignment="1" applyProtection="1">
      <alignment horizontal="center" vertical="center"/>
    </xf>
    <xf numFmtId="9" fontId="7" fillId="0" borderId="2" xfId="0" applyNumberFormat="1" applyFont="1" applyFill="1" applyBorder="1" applyAlignment="1" applyProtection="1">
      <alignment vertical="center"/>
    </xf>
    <xf numFmtId="170" fontId="4" fillId="0" borderId="0" xfId="0" quotePrefix="1" applyNumberFormat="1" applyFont="1" applyFill="1" applyBorder="1" applyAlignment="1" applyProtection="1">
      <alignment horizontal="right" vertical="center"/>
    </xf>
    <xf numFmtId="0" fontId="14" fillId="0" borderId="0" xfId="0" applyFont="1" applyBorder="1"/>
    <xf numFmtId="0" fontId="14" fillId="0" borderId="0" xfId="0" applyFont="1"/>
    <xf numFmtId="0" fontId="17" fillId="0" borderId="34" xfId="0" applyFont="1" applyFill="1" applyBorder="1" applyAlignment="1" applyProtection="1">
      <alignment horizontal="left" vertical="center"/>
    </xf>
    <xf numFmtId="0" fontId="31" fillId="0" borderId="2" xfId="0" applyFont="1" applyBorder="1" applyAlignment="1">
      <alignment vertical="center"/>
    </xf>
    <xf numFmtId="170" fontId="32" fillId="0" borderId="14" xfId="0" applyNumberFormat="1" applyFont="1" applyFill="1" applyBorder="1" applyAlignment="1" applyProtection="1">
      <alignment horizontal="right" vertical="center"/>
    </xf>
    <xf numFmtId="0" fontId="6" fillId="0" borderId="4" xfId="0" applyFont="1" applyFill="1" applyBorder="1" applyAlignment="1" applyProtection="1">
      <alignment horizontal="right" vertical="center"/>
    </xf>
    <xf numFmtId="0" fontId="32" fillId="0" borderId="0" xfId="0" applyFont="1" applyFill="1" applyBorder="1" applyAlignment="1" applyProtection="1">
      <alignment horizontal="right" vertical="center"/>
    </xf>
    <xf numFmtId="168" fontId="5" fillId="0" borderId="10" xfId="0" applyNumberFormat="1" applyFont="1" applyFill="1" applyBorder="1" applyAlignment="1" applyProtection="1">
      <alignment horizontal="right" vertical="center"/>
    </xf>
    <xf numFmtId="170" fontId="32" fillId="0" borderId="4" xfId="0" applyNumberFormat="1" applyFont="1" applyFill="1" applyBorder="1" applyAlignment="1" applyProtection="1">
      <alignment horizontal="right" vertical="center"/>
    </xf>
    <xf numFmtId="0" fontId="67" fillId="0" borderId="2" xfId="0" applyFont="1" applyFill="1" applyBorder="1" applyAlignment="1" applyProtection="1">
      <alignment vertical="center"/>
    </xf>
    <xf numFmtId="0" fontId="67" fillId="0" borderId="0" xfId="0" applyFont="1" applyFill="1" applyBorder="1" applyAlignment="1" applyProtection="1">
      <alignment vertical="center"/>
    </xf>
    <xf numFmtId="170" fontId="16" fillId="0" borderId="14" xfId="0" applyNumberFormat="1" applyFont="1" applyFill="1" applyBorder="1" applyAlignment="1" applyProtection="1">
      <alignment horizontal="left" vertical="center"/>
    </xf>
    <xf numFmtId="0" fontId="4" fillId="0" borderId="0" xfId="0" applyFont="1" applyBorder="1" applyAlignment="1" applyProtection="1">
      <alignment horizontal="right" vertical="center"/>
    </xf>
    <xf numFmtId="0" fontId="5" fillId="0" borderId="9" xfId="0" applyFont="1" applyFill="1" applyBorder="1" applyAlignment="1" applyProtection="1">
      <alignment vertical="center"/>
    </xf>
    <xf numFmtId="0" fontId="4" fillId="0" borderId="10" xfId="0" applyFont="1" applyFill="1" applyBorder="1" applyAlignment="1" applyProtection="1">
      <alignment horizontal="center" vertical="center"/>
    </xf>
    <xf numFmtId="170" fontId="4" fillId="0" borderId="10" xfId="0" applyNumberFormat="1" applyFont="1" applyFill="1" applyBorder="1" applyAlignment="1" applyProtection="1">
      <alignment horizontal="center" vertical="center"/>
    </xf>
    <xf numFmtId="170" fontId="4" fillId="0" borderId="10" xfId="0" applyNumberFormat="1" applyFont="1" applyFill="1" applyBorder="1" applyAlignment="1" applyProtection="1">
      <alignment horizontal="left" vertical="center"/>
    </xf>
    <xf numFmtId="0" fontId="4" fillId="0" borderId="1" xfId="0" applyFont="1" applyFill="1" applyBorder="1" applyAlignment="1" applyProtection="1">
      <alignment horizontal="left" vertical="center"/>
    </xf>
    <xf numFmtId="9" fontId="4" fillId="0" borderId="1" xfId="0" applyNumberFormat="1" applyFont="1" applyFill="1" applyBorder="1" applyAlignment="1" applyProtection="1">
      <alignment vertical="center"/>
    </xf>
    <xf numFmtId="0" fontId="5" fillId="0" borderId="1" xfId="0" applyFont="1" applyFill="1" applyBorder="1" applyAlignment="1" applyProtection="1">
      <alignment horizontal="left" vertical="center"/>
    </xf>
    <xf numFmtId="0" fontId="23" fillId="0" borderId="1" xfId="0" applyFont="1" applyFill="1" applyBorder="1" applyAlignment="1" applyProtection="1">
      <alignment vertical="center"/>
    </xf>
    <xf numFmtId="170" fontId="23" fillId="0" borderId="1" xfId="0" applyNumberFormat="1" applyFont="1" applyFill="1" applyBorder="1" applyAlignment="1" applyProtection="1">
      <alignment vertical="center"/>
    </xf>
    <xf numFmtId="0" fontId="40" fillId="0" borderId="68" xfId="0" applyFont="1" applyFill="1" applyBorder="1" applyAlignment="1" applyProtection="1">
      <alignment horizontal="right" vertical="center"/>
    </xf>
    <xf numFmtId="0" fontId="68" fillId="0" borderId="18" xfId="0" applyFont="1" applyFill="1" applyBorder="1" applyAlignment="1" applyProtection="1">
      <alignment vertical="center"/>
    </xf>
    <xf numFmtId="0" fontId="68" fillId="0" borderId="2" xfId="0" applyFont="1" applyFill="1" applyBorder="1" applyAlignment="1" applyProtection="1">
      <alignment vertical="center"/>
    </xf>
    <xf numFmtId="167" fontId="17" fillId="0" borderId="4" xfId="0" applyNumberFormat="1" applyFont="1" applyFill="1" applyBorder="1" applyAlignment="1" applyProtection="1">
      <alignment horizontal="right" vertical="center"/>
    </xf>
    <xf numFmtId="0" fontId="0" fillId="0" borderId="13" xfId="0" applyBorder="1" applyAlignment="1">
      <alignment vertical="center"/>
    </xf>
    <xf numFmtId="0" fontId="14" fillId="0" borderId="2" xfId="0" applyFont="1" applyBorder="1" applyAlignment="1" applyProtection="1">
      <alignment vertical="center"/>
    </xf>
    <xf numFmtId="0" fontId="14" fillId="0" borderId="2" xfId="0" applyFont="1" applyBorder="1" applyAlignment="1" applyProtection="1">
      <alignment horizontal="left" vertical="center"/>
    </xf>
    <xf numFmtId="0" fontId="14" fillId="0" borderId="0" xfId="0" applyFont="1" applyBorder="1" applyAlignment="1" applyProtection="1">
      <alignment horizontal="left" vertical="center"/>
    </xf>
    <xf numFmtId="0" fontId="64" fillId="0" borderId="13" xfId="0" applyFont="1" applyBorder="1" applyAlignment="1" applyProtection="1">
      <alignment horizontal="center" vertical="center"/>
    </xf>
    <xf numFmtId="0" fontId="45" fillId="0" borderId="13" xfId="0" applyFont="1" applyBorder="1" applyAlignment="1" applyProtection="1">
      <alignment horizontal="center" vertical="center"/>
    </xf>
    <xf numFmtId="9" fontId="16" fillId="0" borderId="8" xfId="0" applyNumberFormat="1" applyFont="1" applyFill="1" applyBorder="1" applyAlignment="1" applyProtection="1">
      <alignment vertical="center"/>
    </xf>
    <xf numFmtId="0" fontId="16" fillId="0" borderId="4" xfId="0" applyFont="1" applyFill="1" applyBorder="1" applyAlignment="1" applyProtection="1">
      <alignment vertical="center"/>
    </xf>
    <xf numFmtId="0" fontId="16" fillId="0" borderId="4" xfId="0" applyFont="1" applyFill="1" applyBorder="1" applyAlignment="1" applyProtection="1">
      <alignment horizontal="left" vertical="center"/>
    </xf>
    <xf numFmtId="170" fontId="16" fillId="0" borderId="4" xfId="0" applyNumberFormat="1" applyFont="1" applyFill="1" applyBorder="1" applyAlignment="1" applyProtection="1">
      <alignment vertical="center"/>
    </xf>
    <xf numFmtId="10" fontId="16" fillId="0" borderId="4" xfId="16" applyNumberFormat="1" applyFont="1" applyFill="1" applyBorder="1" applyAlignment="1" applyProtection="1">
      <alignment vertical="center"/>
    </xf>
    <xf numFmtId="170" fontId="16" fillId="0" borderId="4" xfId="0" applyNumberFormat="1" applyFont="1" applyFill="1" applyBorder="1" applyAlignment="1" applyProtection="1">
      <alignment horizontal="center" vertical="center"/>
    </xf>
    <xf numFmtId="170" fontId="17" fillId="0" borderId="4" xfId="0" applyNumberFormat="1" applyFont="1" applyFill="1" applyBorder="1" applyAlignment="1" applyProtection="1">
      <alignment vertical="center"/>
    </xf>
    <xf numFmtId="170" fontId="16" fillId="0" borderId="4" xfId="0" applyNumberFormat="1" applyFont="1" applyFill="1" applyBorder="1" applyAlignment="1" applyProtection="1">
      <alignment horizontal="left" vertical="center"/>
    </xf>
    <xf numFmtId="9" fontId="5" fillId="0" borderId="2" xfId="0" applyNumberFormat="1" applyFont="1" applyFill="1" applyBorder="1" applyAlignment="1" applyProtection="1">
      <alignment horizontal="left" vertical="center"/>
    </xf>
    <xf numFmtId="0" fontId="4" fillId="0" borderId="2" xfId="0" applyFont="1" applyFill="1" applyBorder="1" applyAlignment="1" applyProtection="1">
      <alignment horizontal="left" vertical="center"/>
    </xf>
    <xf numFmtId="0" fontId="4" fillId="0" borderId="1" xfId="0" applyFont="1" applyBorder="1" applyAlignment="1" applyProtection="1">
      <alignment vertical="center"/>
    </xf>
    <xf numFmtId="0" fontId="4" fillId="0" borderId="10" xfId="0" applyFont="1" applyBorder="1" applyAlignment="1" applyProtection="1">
      <alignment horizontal="left" vertical="center"/>
    </xf>
    <xf numFmtId="0" fontId="14" fillId="0" borderId="56" xfId="0" applyFont="1" applyBorder="1" applyAlignment="1" applyProtection="1">
      <alignment vertical="center"/>
    </xf>
    <xf numFmtId="0" fontId="14" fillId="0" borderId="1" xfId="0" applyFont="1" applyBorder="1" applyAlignment="1" applyProtection="1">
      <alignment vertical="center"/>
    </xf>
    <xf numFmtId="0" fontId="5" fillId="0" borderId="1" xfId="0" applyFont="1" applyFill="1" applyBorder="1" applyAlignment="1" applyProtection="1">
      <alignment horizontal="center" vertical="center"/>
    </xf>
    <xf numFmtId="0" fontId="23" fillId="0" borderId="68" xfId="0" applyFont="1" applyFill="1" applyBorder="1" applyAlignment="1" applyProtection="1">
      <alignment vertical="center"/>
    </xf>
    <xf numFmtId="167" fontId="32" fillId="0" borderId="0" xfId="0" applyNumberFormat="1" applyFont="1" applyFill="1" applyBorder="1" applyAlignment="1" applyProtection="1">
      <alignment vertical="center"/>
    </xf>
    <xf numFmtId="0" fontId="32" fillId="0" borderId="16" xfId="0" applyFont="1" applyFill="1" applyBorder="1" applyAlignment="1" applyProtection="1">
      <alignment vertical="center"/>
    </xf>
    <xf numFmtId="0" fontId="23" fillId="0" borderId="16" xfId="0" applyFont="1" applyFill="1" applyBorder="1" applyAlignment="1" applyProtection="1">
      <alignment vertical="center"/>
    </xf>
    <xf numFmtId="167" fontId="23" fillId="0" borderId="16" xfId="0" applyNumberFormat="1" applyFont="1" applyFill="1" applyBorder="1" applyAlignment="1" applyProtection="1">
      <alignment vertical="center"/>
    </xf>
    <xf numFmtId="0" fontId="45" fillId="0" borderId="76" xfId="0" applyFont="1" applyFill="1" applyBorder="1" applyAlignment="1" applyProtection="1">
      <alignment vertical="center"/>
    </xf>
    <xf numFmtId="170" fontId="32" fillId="0" borderId="19" xfId="0" applyNumberFormat="1" applyFont="1" applyFill="1" applyBorder="1" applyAlignment="1" applyProtection="1">
      <alignment horizontal="right" vertical="center"/>
    </xf>
    <xf numFmtId="0" fontId="64" fillId="0" borderId="13" xfId="0" applyFont="1" applyBorder="1" applyAlignment="1" applyProtection="1">
      <alignment horizontal="left" vertical="center"/>
    </xf>
    <xf numFmtId="0" fontId="56" fillId="0" borderId="13" xfId="0" applyFont="1" applyBorder="1" applyAlignment="1" applyProtection="1">
      <alignment horizontal="left" vertical="center"/>
    </xf>
    <xf numFmtId="0" fontId="56" fillId="0" borderId="20" xfId="0" applyFont="1" applyBorder="1" applyAlignment="1" applyProtection="1">
      <alignment horizontal="left" vertical="center"/>
    </xf>
    <xf numFmtId="0" fontId="57" fillId="0" borderId="0" xfId="0" applyFont="1" applyBorder="1" applyAlignment="1" applyProtection="1">
      <alignment horizontal="left" vertical="center"/>
    </xf>
    <xf numFmtId="170" fontId="32" fillId="0" borderId="1" xfId="0" applyNumberFormat="1" applyFont="1" applyFill="1" applyBorder="1" applyAlignment="1" applyProtection="1">
      <alignment horizontal="right" vertical="center"/>
    </xf>
    <xf numFmtId="0" fontId="34" fillId="0" borderId="0" xfId="0" applyFont="1" applyBorder="1" applyAlignment="1" applyProtection="1">
      <alignment horizontal="left" vertical="center"/>
    </xf>
    <xf numFmtId="0" fontId="34" fillId="0" borderId="0" xfId="0" applyNumberFormat="1" applyFont="1" applyBorder="1" applyAlignment="1" applyProtection="1">
      <alignment horizontal="left" vertical="center"/>
    </xf>
    <xf numFmtId="0" fontId="17" fillId="0" borderId="2" xfId="0" applyFont="1" applyBorder="1" applyAlignment="1" applyProtection="1">
      <alignment horizontal="right" vertical="center"/>
    </xf>
    <xf numFmtId="0" fontId="17" fillId="0" borderId="2" xfId="0" applyFont="1" applyFill="1" applyBorder="1" applyAlignment="1" applyProtection="1">
      <alignment horizontal="right" vertical="center"/>
    </xf>
    <xf numFmtId="0" fontId="17" fillId="0" borderId="8" xfId="0" applyFont="1" applyBorder="1" applyAlignment="1" applyProtection="1">
      <alignment horizontal="right" vertical="center"/>
    </xf>
    <xf numFmtId="0" fontId="58" fillId="0" borderId="0" xfId="0" applyFont="1" applyBorder="1" applyAlignment="1" applyProtection="1">
      <alignment horizontal="left" vertical="center"/>
    </xf>
    <xf numFmtId="0" fontId="34" fillId="0" borderId="12" xfId="0" applyFont="1" applyBorder="1" applyAlignment="1" applyProtection="1">
      <alignment vertical="center"/>
    </xf>
    <xf numFmtId="178" fontId="47" fillId="0" borderId="78" xfId="0" applyNumberFormat="1" applyFont="1" applyBorder="1" applyAlignment="1" applyProtection="1">
      <alignment horizontal="left" vertical="center"/>
    </xf>
    <xf numFmtId="49" fontId="34" fillId="0" borderId="26" xfId="0" applyNumberFormat="1" applyFont="1" applyBorder="1" applyAlignment="1" applyProtection="1">
      <alignment horizontal="left" vertical="center"/>
    </xf>
    <xf numFmtId="0" fontId="34" fillId="0" borderId="44" xfId="0" applyFont="1" applyBorder="1" applyAlignment="1" applyProtection="1">
      <alignment vertical="center"/>
    </xf>
    <xf numFmtId="0" fontId="16" fillId="0" borderId="22" xfId="0" applyFont="1" applyBorder="1" applyAlignment="1" applyProtection="1">
      <alignment vertical="center"/>
    </xf>
    <xf numFmtId="0" fontId="76" fillId="0" borderId="9" xfId="0" applyFont="1" applyBorder="1" applyAlignment="1" applyProtection="1">
      <alignment horizontal="center" vertical="center"/>
    </xf>
    <xf numFmtId="49" fontId="17" fillId="2" borderId="79" xfId="0" applyNumberFormat="1" applyFont="1" applyFill="1" applyBorder="1" applyAlignment="1" applyProtection="1">
      <alignment vertical="center"/>
      <protection locked="0"/>
    </xf>
    <xf numFmtId="0" fontId="14" fillId="0" borderId="68" xfId="0" applyFont="1" applyBorder="1" applyAlignment="1" applyProtection="1">
      <alignment vertical="center"/>
    </xf>
    <xf numFmtId="0" fontId="14" fillId="0" borderId="2" xfId="0" applyFont="1" applyBorder="1" applyAlignment="1" applyProtection="1">
      <alignment vertical="center" wrapText="1"/>
    </xf>
    <xf numFmtId="0" fontId="16" fillId="0" borderId="53" xfId="0" applyFont="1" applyBorder="1" applyAlignment="1" applyProtection="1">
      <alignment vertical="center"/>
    </xf>
    <xf numFmtId="0" fontId="16" fillId="0" borderId="43" xfId="0" applyFont="1" applyBorder="1" applyAlignment="1">
      <alignment horizontal="right" vertical="center"/>
    </xf>
    <xf numFmtId="171" fontId="16" fillId="4" borderId="80" xfId="0" applyNumberFormat="1" applyFont="1" applyFill="1" applyBorder="1" applyAlignment="1" applyProtection="1">
      <alignment vertical="center"/>
    </xf>
    <xf numFmtId="0" fontId="17" fillId="0" borderId="75" xfId="0" applyFont="1" applyBorder="1" applyAlignment="1" applyProtection="1">
      <alignment horizontal="right" vertical="center"/>
    </xf>
    <xf numFmtId="0" fontId="76" fillId="0" borderId="9" xfId="0" applyFont="1" applyBorder="1" applyAlignment="1" applyProtection="1">
      <alignment vertical="center"/>
    </xf>
    <xf numFmtId="0" fontId="64" fillId="0" borderId="13" xfId="0" applyFont="1" applyBorder="1" applyAlignment="1" applyProtection="1">
      <alignment vertical="center"/>
    </xf>
    <xf numFmtId="0" fontId="14" fillId="0" borderId="13" xfId="0" applyFont="1" applyBorder="1" applyAlignment="1" applyProtection="1">
      <alignment vertical="center"/>
    </xf>
    <xf numFmtId="0" fontId="65" fillId="0" borderId="13" xfId="0" applyFont="1" applyBorder="1" applyAlignment="1" applyProtection="1">
      <alignment horizontal="center" vertical="center"/>
    </xf>
    <xf numFmtId="0" fontId="65" fillId="0" borderId="20" xfId="0" applyFont="1" applyBorder="1" applyAlignment="1" applyProtection="1">
      <alignment horizontal="center" vertical="center"/>
    </xf>
    <xf numFmtId="0" fontId="9" fillId="0" borderId="0" xfId="0" applyFont="1" applyBorder="1" applyAlignment="1" applyProtection="1">
      <alignment vertical="center"/>
    </xf>
    <xf numFmtId="0" fontId="65" fillId="0" borderId="0" xfId="0" applyFont="1" applyBorder="1" applyAlignment="1" applyProtection="1">
      <alignment vertical="center"/>
    </xf>
    <xf numFmtId="0" fontId="65" fillId="0" borderId="5" xfId="0" applyFont="1" applyBorder="1" applyAlignment="1" applyProtection="1">
      <alignment vertical="center"/>
    </xf>
    <xf numFmtId="0" fontId="14" fillId="0" borderId="75" xfId="0" applyFont="1" applyBorder="1" applyAlignment="1" applyProtection="1">
      <alignment vertical="center"/>
    </xf>
    <xf numFmtId="0" fontId="14" fillId="0" borderId="19" xfId="0" applyFont="1" applyBorder="1" applyAlignment="1" applyProtection="1">
      <alignment vertical="center"/>
    </xf>
    <xf numFmtId="0" fontId="16" fillId="0" borderId="43" xfId="0" applyFont="1" applyBorder="1" applyAlignment="1" applyProtection="1">
      <alignment horizontal="right" vertical="center"/>
    </xf>
    <xf numFmtId="0" fontId="16" fillId="0" borderId="81" xfId="0" applyFont="1" applyFill="1" applyBorder="1" applyAlignment="1" applyProtection="1">
      <alignment horizontal="right" vertical="center"/>
    </xf>
    <xf numFmtId="0" fontId="16" fillId="0" borderId="82" xfId="0" applyFont="1" applyBorder="1" applyAlignment="1" applyProtection="1">
      <alignment horizontal="right" vertical="center"/>
    </xf>
    <xf numFmtId="0" fontId="16" fillId="0" borderId="83" xfId="0" applyFont="1" applyBorder="1" applyAlignment="1" applyProtection="1">
      <alignment horizontal="right" vertical="center"/>
    </xf>
    <xf numFmtId="0" fontId="16" fillId="0" borderId="84" xfId="0" applyFont="1" applyBorder="1" applyAlignment="1" applyProtection="1">
      <alignment horizontal="right" vertical="center"/>
    </xf>
    <xf numFmtId="0" fontId="16" fillId="0" borderId="85" xfId="0" applyFont="1" applyBorder="1" applyAlignment="1" applyProtection="1">
      <alignment horizontal="right" vertical="center"/>
    </xf>
    <xf numFmtId="0" fontId="16" fillId="0" borderId="86" xfId="0" applyFont="1" applyBorder="1" applyAlignment="1" applyProtection="1">
      <alignment horizontal="right" vertical="center"/>
    </xf>
    <xf numFmtId="0" fontId="16" fillId="0" borderId="82" xfId="0" applyFont="1" applyFill="1" applyBorder="1" applyAlignment="1" applyProtection="1">
      <alignment horizontal="right" vertical="center"/>
    </xf>
    <xf numFmtId="0" fontId="16" fillId="0" borderId="26" xfId="0" applyFont="1" applyBorder="1" applyAlignment="1">
      <alignment horizontal="left" vertical="center"/>
    </xf>
    <xf numFmtId="0" fontId="16" fillId="0" borderId="87" xfId="0" applyFont="1" applyBorder="1" applyAlignment="1" applyProtection="1">
      <alignment vertical="center"/>
    </xf>
    <xf numFmtId="0" fontId="16" fillId="5" borderId="88" xfId="0" applyFont="1" applyFill="1" applyBorder="1" applyAlignment="1" applyProtection="1">
      <alignment horizontal="right" vertical="center"/>
    </xf>
    <xf numFmtId="0" fontId="16" fillId="0" borderId="70" xfId="0" applyFont="1" applyFill="1" applyBorder="1" applyAlignment="1" applyProtection="1">
      <alignment horizontal="right" vertical="center"/>
    </xf>
    <xf numFmtId="0" fontId="16" fillId="0" borderId="7" xfId="0" applyFont="1" applyBorder="1" applyAlignment="1" applyProtection="1">
      <alignment vertical="center"/>
    </xf>
    <xf numFmtId="0" fontId="16" fillId="0" borderId="89" xfId="0" applyFont="1" applyBorder="1" applyAlignment="1" applyProtection="1">
      <alignment vertical="center"/>
    </xf>
    <xf numFmtId="0" fontId="16" fillId="0" borderId="90" xfId="0" applyFont="1" applyFill="1" applyBorder="1" applyAlignment="1" applyProtection="1">
      <alignment horizontal="right" vertical="center"/>
    </xf>
    <xf numFmtId="0" fontId="16" fillId="0" borderId="91" xfId="0" applyFont="1" applyFill="1" applyBorder="1" applyAlignment="1" applyProtection="1">
      <alignment horizontal="right" vertical="center"/>
    </xf>
    <xf numFmtId="0" fontId="16" fillId="0" borderId="7" xfId="0" applyFont="1" applyFill="1" applyBorder="1" applyAlignment="1" applyProtection="1">
      <alignment horizontal="right" vertical="center"/>
    </xf>
    <xf numFmtId="0" fontId="14" fillId="0" borderId="7" xfId="0" applyFont="1" applyBorder="1" applyAlignment="1">
      <alignment horizontal="right" vertical="center"/>
    </xf>
    <xf numFmtId="49" fontId="17" fillId="2" borderId="6" xfId="0" applyNumberFormat="1" applyFont="1" applyFill="1" applyBorder="1" applyAlignment="1" applyProtection="1">
      <alignment horizontal="left" vertical="center"/>
      <protection locked="0"/>
    </xf>
    <xf numFmtId="49" fontId="17" fillId="2" borderId="12" xfId="0" applyNumberFormat="1" applyFont="1" applyFill="1" applyBorder="1" applyAlignment="1" applyProtection="1">
      <alignment horizontal="left" vertical="center"/>
      <protection locked="0"/>
    </xf>
    <xf numFmtId="0" fontId="16" fillId="0" borderId="0" xfId="0" applyFont="1" applyFill="1" applyBorder="1" applyAlignment="1" applyProtection="1">
      <alignment horizontal="right" vertical="center"/>
    </xf>
    <xf numFmtId="0" fontId="16" fillId="0" borderId="6" xfId="0" applyFont="1" applyBorder="1" applyAlignment="1" applyProtection="1">
      <alignment horizontal="right" vertical="center"/>
    </xf>
    <xf numFmtId="0" fontId="14" fillId="0" borderId="92" xfId="0" applyFont="1" applyBorder="1" applyAlignment="1">
      <alignment vertical="center"/>
    </xf>
    <xf numFmtId="0" fontId="14" fillId="0" borderId="84" xfId="0" applyFont="1" applyBorder="1" applyAlignment="1">
      <alignment vertical="center"/>
    </xf>
    <xf numFmtId="49" fontId="17" fillId="2" borderId="26" xfId="0" applyNumberFormat="1" applyFont="1" applyFill="1" applyBorder="1" applyAlignment="1" applyProtection="1">
      <alignment vertical="center"/>
      <protection locked="0"/>
    </xf>
    <xf numFmtId="0" fontId="14" fillId="0" borderId="93" xfId="0" applyFont="1" applyBorder="1" applyAlignment="1">
      <alignment vertical="center"/>
    </xf>
    <xf numFmtId="0" fontId="14" fillId="0" borderId="94" xfId="0" applyFont="1" applyBorder="1" applyAlignment="1">
      <alignment horizontal="right" vertical="center"/>
    </xf>
    <xf numFmtId="0" fontId="14" fillId="0" borderId="95" xfId="0" applyFont="1" applyBorder="1" applyAlignment="1">
      <alignment horizontal="right" vertical="center"/>
    </xf>
    <xf numFmtId="0" fontId="14" fillId="0" borderId="84" xfId="0" applyFont="1" applyBorder="1" applyAlignment="1">
      <alignment horizontal="right" vertical="center"/>
    </xf>
    <xf numFmtId="0" fontId="74" fillId="0" borderId="18" xfId="0" applyFont="1" applyBorder="1" applyAlignment="1" applyProtection="1">
      <alignment horizontal="left" vertical="center"/>
    </xf>
    <xf numFmtId="0" fontId="79" fillId="0" borderId="13" xfId="0" applyFont="1" applyBorder="1" applyAlignment="1" applyProtection="1">
      <alignment horizontal="center" vertical="center"/>
    </xf>
    <xf numFmtId="0" fontId="14" fillId="0" borderId="13" xfId="0" applyFont="1" applyBorder="1" applyAlignment="1" applyProtection="1">
      <alignment horizontal="center" vertical="center"/>
    </xf>
    <xf numFmtId="0" fontId="79" fillId="0" borderId="2" xfId="0" applyFont="1" applyBorder="1" applyAlignment="1" applyProtection="1">
      <alignment horizontal="center" vertical="center"/>
    </xf>
    <xf numFmtId="0" fontId="79" fillId="0" borderId="0" xfId="0" applyFont="1" applyBorder="1" applyAlignment="1" applyProtection="1">
      <alignment horizontal="center" vertical="center"/>
    </xf>
    <xf numFmtId="0" fontId="14" fillId="0" borderId="4" xfId="0" applyFont="1" applyBorder="1" applyAlignment="1" applyProtection="1">
      <alignment horizontal="right" vertical="center"/>
    </xf>
    <xf numFmtId="0" fontId="34" fillId="0" borderId="28" xfId="0" applyFont="1" applyBorder="1" applyAlignment="1" applyProtection="1">
      <alignment vertical="center"/>
    </xf>
    <xf numFmtId="0" fontId="14" fillId="0" borderId="28" xfId="0" applyFont="1" applyBorder="1" applyAlignment="1" applyProtection="1">
      <alignment vertical="center"/>
    </xf>
    <xf numFmtId="0" fontId="34" fillId="0" borderId="0" xfId="0" applyFont="1" applyBorder="1" applyAlignment="1" applyProtection="1">
      <alignment vertical="center"/>
    </xf>
    <xf numFmtId="0" fontId="14" fillId="0" borderId="43" xfId="0" applyFont="1" applyBorder="1" applyAlignment="1" applyProtection="1">
      <alignment horizontal="right" vertical="center"/>
    </xf>
    <xf numFmtId="0" fontId="14" fillId="0" borderId="0" xfId="0" applyNumberFormat="1" applyFont="1" applyBorder="1" applyAlignment="1" applyProtection="1">
      <alignment vertical="center"/>
    </xf>
    <xf numFmtId="0" fontId="14" fillId="0" borderId="5" xfId="0" applyFont="1" applyBorder="1" applyAlignment="1" applyProtection="1">
      <alignment vertical="center"/>
    </xf>
    <xf numFmtId="0" fontId="14" fillId="0" borderId="37" xfId="0" applyFont="1" applyBorder="1" applyAlignment="1" applyProtection="1">
      <alignment vertical="center"/>
    </xf>
    <xf numFmtId="0" fontId="14" fillId="0" borderId="38" xfId="0" applyFont="1" applyBorder="1" applyAlignment="1" applyProtection="1">
      <alignment vertical="center"/>
    </xf>
    <xf numFmtId="0" fontId="16" fillId="0" borderId="16" xfId="0" applyFont="1" applyBorder="1" applyAlignment="1" applyProtection="1">
      <alignment vertical="center"/>
    </xf>
    <xf numFmtId="0" fontId="16" fillId="0" borderId="29" xfId="0" applyFont="1" applyBorder="1" applyAlignment="1" applyProtection="1">
      <alignment vertical="center"/>
    </xf>
    <xf numFmtId="0" fontId="16" fillId="0" borderId="60" xfId="0" applyFont="1" applyBorder="1" applyAlignment="1" applyProtection="1">
      <alignment vertical="center"/>
    </xf>
    <xf numFmtId="0" fontId="14" fillId="0" borderId="0" xfId="0" applyFont="1" applyBorder="1" applyAlignment="1" applyProtection="1">
      <alignment horizontal="center" vertical="center"/>
    </xf>
    <xf numFmtId="0" fontId="14" fillId="0" borderId="9" xfId="0" applyFont="1" applyBorder="1" applyAlignment="1" applyProtection="1">
      <alignment vertical="center"/>
    </xf>
    <xf numFmtId="0" fontId="14" fillId="0" borderId="14" xfId="0" applyFont="1" applyBorder="1" applyAlignment="1" applyProtection="1">
      <alignment vertical="center"/>
    </xf>
    <xf numFmtId="0" fontId="16" fillId="0" borderId="14" xfId="0" applyFont="1" applyBorder="1" applyAlignment="1" applyProtection="1">
      <alignment vertical="center"/>
    </xf>
    <xf numFmtId="0" fontId="16" fillId="0" borderId="19" xfId="0" applyFont="1" applyBorder="1" applyAlignment="1" applyProtection="1">
      <alignment vertical="center"/>
    </xf>
    <xf numFmtId="0" fontId="16" fillId="0" borderId="0" xfId="0" applyFont="1" applyBorder="1" applyAlignment="1" applyProtection="1">
      <alignment horizontal="right" vertical="center"/>
    </xf>
    <xf numFmtId="0" fontId="70" fillId="0" borderId="10" xfId="14" applyFont="1" applyFill="1" applyBorder="1" applyAlignment="1" applyProtection="1">
      <alignment vertical="center"/>
    </xf>
    <xf numFmtId="174" fontId="82" fillId="0" borderId="18" xfId="14" applyNumberFormat="1" applyFont="1" applyFill="1" applyBorder="1" applyAlignment="1" applyProtection="1">
      <alignment vertical="center"/>
    </xf>
    <xf numFmtId="0" fontId="81" fillId="0" borderId="13" xfId="14" applyFont="1" applyFill="1" applyBorder="1" applyAlignment="1" applyProtection="1">
      <alignment horizontal="right" vertical="center"/>
    </xf>
    <xf numFmtId="0" fontId="70" fillId="0" borderId="13" xfId="14" applyFont="1" applyFill="1" applyBorder="1" applyAlignment="1" applyProtection="1">
      <alignment vertical="center"/>
    </xf>
    <xf numFmtId="0" fontId="15" fillId="0" borderId="13" xfId="0" applyFont="1" applyBorder="1" applyAlignment="1" applyProtection="1">
      <alignment horizontal="right" vertical="center"/>
    </xf>
    <xf numFmtId="0" fontId="70" fillId="0" borderId="20" xfId="14" applyFont="1" applyFill="1" applyBorder="1" applyAlignment="1" applyProtection="1">
      <alignment vertical="center"/>
    </xf>
    <xf numFmtId="0" fontId="71" fillId="0" borderId="9" xfId="0" applyFont="1" applyFill="1" applyBorder="1" applyAlignment="1" applyProtection="1">
      <alignment horizontal="center" vertical="center" wrapText="1"/>
    </xf>
    <xf numFmtId="0" fontId="71" fillId="0" borderId="10" xfId="14" applyFont="1" applyFill="1" applyBorder="1" applyAlignment="1" applyProtection="1">
      <alignment vertical="center"/>
    </xf>
    <xf numFmtId="0" fontId="15" fillId="0" borderId="10" xfId="0" applyFont="1" applyBorder="1" applyAlignment="1" applyProtection="1">
      <alignment horizontal="right" vertical="center"/>
    </xf>
    <xf numFmtId="0" fontId="70" fillId="0" borderId="74" xfId="14" applyFont="1" applyFill="1" applyBorder="1" applyAlignment="1" applyProtection="1">
      <alignment vertical="center"/>
    </xf>
    <xf numFmtId="0" fontId="6" fillId="0" borderId="25" xfId="0" applyFont="1" applyFill="1" applyBorder="1" applyAlignment="1" applyProtection="1">
      <alignment horizontal="center" vertical="center" wrapText="1"/>
    </xf>
    <xf numFmtId="0" fontId="72" fillId="0" borderId="12" xfId="0" applyFont="1" applyFill="1" applyBorder="1" applyAlignment="1" applyProtection="1">
      <alignment horizontal="center" vertical="center" wrapText="1"/>
    </xf>
    <xf numFmtId="0" fontId="72" fillId="0" borderId="79" xfId="0" applyFont="1" applyFill="1" applyBorder="1" applyAlignment="1" applyProtection="1">
      <alignment horizontal="center" vertical="center" wrapText="1"/>
    </xf>
    <xf numFmtId="0" fontId="72" fillId="0" borderId="38" xfId="0" applyFont="1" applyFill="1" applyBorder="1" applyAlignment="1" applyProtection="1">
      <alignment horizontal="center" vertical="center" wrapText="1"/>
    </xf>
    <xf numFmtId="49" fontId="5" fillId="0" borderId="25" xfId="0" applyNumberFormat="1" applyFont="1" applyFill="1" applyBorder="1" applyAlignment="1" applyProtection="1">
      <alignment horizontal="center" vertical="center"/>
    </xf>
    <xf numFmtId="49" fontId="5" fillId="0" borderId="8" xfId="0" applyNumberFormat="1" applyFont="1" applyFill="1" applyBorder="1" applyAlignment="1" applyProtection="1">
      <alignment horizontal="center" vertical="center"/>
    </xf>
    <xf numFmtId="49" fontId="75" fillId="0" borderId="2" xfId="0" applyNumberFormat="1" applyFont="1" applyFill="1" applyBorder="1" applyAlignment="1" applyProtection="1">
      <alignment horizontal="left" vertical="center"/>
    </xf>
    <xf numFmtId="4" fontId="14" fillId="0" borderId="69" xfId="0" applyNumberFormat="1" applyFont="1" applyBorder="1" applyAlignment="1" applyProtection="1">
      <alignment vertical="center"/>
    </xf>
    <xf numFmtId="0" fontId="17" fillId="0" borderId="19" xfId="0" applyFont="1" applyBorder="1" applyAlignment="1" applyProtection="1">
      <alignment horizontal="right" vertical="center"/>
    </xf>
    <xf numFmtId="0" fontId="16" fillId="0" borderId="79" xfId="0" applyFont="1" applyBorder="1" applyAlignment="1" applyProtection="1">
      <alignment horizontal="left" vertical="center"/>
    </xf>
    <xf numFmtId="0" fontId="17" fillId="0" borderId="37" xfId="0" applyFont="1" applyBorder="1" applyAlignment="1" applyProtection="1">
      <alignment horizontal="left" vertical="center"/>
    </xf>
    <xf numFmtId="0" fontId="14" fillId="0" borderId="8" xfId="0" applyFont="1" applyBorder="1" applyAlignment="1" applyProtection="1">
      <alignment vertical="center"/>
    </xf>
    <xf numFmtId="44" fontId="16" fillId="0" borderId="96" xfId="0" applyNumberFormat="1" applyFont="1" applyFill="1" applyBorder="1" applyAlignment="1" applyProtection="1">
      <alignment horizontal="right" vertical="center"/>
    </xf>
    <xf numFmtId="44" fontId="16" fillId="0" borderId="39" xfId="0" applyNumberFormat="1" applyFont="1" applyFill="1" applyBorder="1" applyAlignment="1" applyProtection="1">
      <alignment horizontal="right" vertical="center"/>
    </xf>
    <xf numFmtId="44" fontId="16" fillId="0" borderId="97" xfId="0" applyNumberFormat="1" applyFont="1" applyFill="1" applyBorder="1" applyAlignment="1" applyProtection="1">
      <alignment horizontal="right" vertical="center"/>
    </xf>
    <xf numFmtId="44" fontId="16" fillId="6" borderId="98" xfId="0" applyNumberFormat="1" applyFont="1" applyFill="1" applyBorder="1" applyAlignment="1" applyProtection="1">
      <alignment horizontal="right" vertical="center"/>
    </xf>
    <xf numFmtId="173" fontId="17" fillId="0" borderId="99" xfId="0" applyNumberFormat="1" applyFont="1" applyFill="1" applyBorder="1" applyAlignment="1" applyProtection="1">
      <alignment horizontal="right" vertical="center"/>
    </xf>
    <xf numFmtId="44" fontId="16" fillId="0" borderId="3" xfId="0" applyNumberFormat="1" applyFont="1" applyFill="1" applyBorder="1" applyAlignment="1" applyProtection="1">
      <alignment horizontal="right" vertical="center"/>
    </xf>
    <xf numFmtId="0" fontId="31" fillId="0" borderId="0" xfId="0" applyFont="1" applyBorder="1" applyAlignment="1" applyProtection="1">
      <alignment horizontal="right" vertical="center"/>
    </xf>
    <xf numFmtId="0" fontId="14" fillId="0" borderId="0" xfId="0" applyFont="1" applyBorder="1" applyAlignment="1" applyProtection="1">
      <alignment horizontal="right" vertical="center"/>
    </xf>
    <xf numFmtId="0" fontId="34" fillId="0" borderId="12" xfId="0" applyFont="1" applyBorder="1" applyAlignment="1" applyProtection="1">
      <alignment horizontal="left" vertical="center"/>
    </xf>
    <xf numFmtId="0" fontId="16" fillId="0" borderId="44" xfId="0" applyFont="1" applyBorder="1" applyAlignment="1" applyProtection="1">
      <alignment vertical="center"/>
    </xf>
    <xf numFmtId="49" fontId="34" fillId="0" borderId="6" xfId="0" applyNumberFormat="1" applyFont="1" applyBorder="1" applyAlignment="1" applyProtection="1">
      <alignment vertical="center"/>
    </xf>
    <xf numFmtId="0" fontId="16" fillId="0" borderId="6" xfId="0" applyFont="1" applyBorder="1" applyAlignment="1" applyProtection="1">
      <alignment vertical="center"/>
    </xf>
    <xf numFmtId="0" fontId="17" fillId="0" borderId="100" xfId="0" applyFont="1" applyBorder="1" applyAlignment="1" applyProtection="1">
      <alignment horizontal="right" vertical="center"/>
    </xf>
    <xf numFmtId="49" fontId="34" fillId="0" borderId="44" xfId="0" applyNumberFormat="1" applyFont="1" applyBorder="1" applyAlignment="1" applyProtection="1">
      <alignment vertical="center"/>
    </xf>
    <xf numFmtId="0" fontId="14" fillId="0" borderId="12" xfId="0" applyFont="1" applyBorder="1" applyAlignment="1" applyProtection="1">
      <alignment vertical="center"/>
    </xf>
    <xf numFmtId="0" fontId="26" fillId="0" borderId="0"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wrapText="1"/>
    </xf>
    <xf numFmtId="0" fontId="16" fillId="0" borderId="40" xfId="0" applyFont="1" applyFill="1" applyBorder="1" applyAlignment="1" applyProtection="1">
      <alignment horizontal="left" vertical="center"/>
    </xf>
    <xf numFmtId="0" fontId="84" fillId="0" borderId="33" xfId="0" applyFont="1" applyBorder="1" applyAlignment="1" applyProtection="1">
      <alignment horizontal="left" vertical="center"/>
    </xf>
    <xf numFmtId="0" fontId="83" fillId="0" borderId="0" xfId="0" applyFont="1" applyBorder="1" applyAlignment="1" applyProtection="1">
      <alignment horizontal="left" vertical="center"/>
    </xf>
    <xf numFmtId="181" fontId="17" fillId="2" borderId="12" xfId="0" applyNumberFormat="1" applyFont="1" applyFill="1" applyBorder="1" applyAlignment="1" applyProtection="1">
      <alignment horizontal="left" vertical="center"/>
      <protection locked="0"/>
    </xf>
    <xf numFmtId="0" fontId="85" fillId="0" borderId="0" xfId="0" applyFont="1" applyBorder="1" applyAlignment="1" applyProtection="1">
      <alignment horizontal="left" vertical="center"/>
    </xf>
    <xf numFmtId="0" fontId="29" fillId="2" borderId="28" xfId="0" applyFont="1" applyFill="1" applyBorder="1" applyAlignment="1" applyProtection="1">
      <alignment horizontal="center" vertical="center"/>
      <protection locked="0"/>
    </xf>
    <xf numFmtId="0" fontId="43" fillId="0" borderId="101" xfId="0" applyFont="1" applyFill="1" applyBorder="1" applyAlignment="1" applyProtection="1">
      <alignment horizontal="left" vertical="center"/>
    </xf>
    <xf numFmtId="0" fontId="16" fillId="0" borderId="43" xfId="0" applyFont="1" applyFill="1" applyBorder="1" applyAlignment="1" applyProtection="1">
      <alignment horizontal="right" vertical="center"/>
    </xf>
    <xf numFmtId="0" fontId="4" fillId="5" borderId="2" xfId="0" applyFont="1" applyFill="1" applyBorder="1" applyAlignment="1" applyProtection="1">
      <alignment vertical="center"/>
    </xf>
    <xf numFmtId="0" fontId="16" fillId="5" borderId="0" xfId="0" applyFont="1" applyFill="1" applyBorder="1" applyAlignment="1" applyProtection="1">
      <alignment vertical="center"/>
    </xf>
    <xf numFmtId="0" fontId="66" fillId="5" borderId="22" xfId="0" applyFont="1" applyFill="1" applyBorder="1" applyAlignment="1" applyProtection="1">
      <alignment horizontal="right" vertical="center"/>
    </xf>
    <xf numFmtId="174" fontId="31" fillId="0" borderId="0" xfId="14" applyNumberFormat="1" applyFont="1" applyBorder="1" applyAlignment="1" applyProtection="1">
      <alignment horizontal="left" vertical="center"/>
    </xf>
    <xf numFmtId="1" fontId="67" fillId="3" borderId="12" xfId="0" applyNumberFormat="1" applyFont="1" applyFill="1" applyBorder="1" applyAlignment="1" applyProtection="1">
      <alignment horizontal="center" vertical="center"/>
      <protection locked="0"/>
    </xf>
    <xf numFmtId="49" fontId="34" fillId="0" borderId="80" xfId="0" applyNumberFormat="1" applyFont="1" applyFill="1" applyBorder="1" applyAlignment="1" applyProtection="1">
      <alignment horizontal="left" vertical="center"/>
    </xf>
    <xf numFmtId="49" fontId="34" fillId="0" borderId="26" xfId="0" applyNumberFormat="1" applyFont="1" applyFill="1" applyBorder="1" applyAlignment="1" applyProtection="1">
      <alignment horizontal="left" vertical="center"/>
    </xf>
    <xf numFmtId="49" fontId="34" fillId="0" borderId="80" xfId="0" applyNumberFormat="1" applyFont="1" applyBorder="1" applyAlignment="1" applyProtection="1">
      <alignment horizontal="left" vertical="center"/>
    </xf>
    <xf numFmtId="49" fontId="16" fillId="0" borderId="26" xfId="0" applyNumberFormat="1" applyFont="1" applyBorder="1" applyAlignment="1" applyProtection="1">
      <alignment vertical="center"/>
    </xf>
    <xf numFmtId="180" fontId="14" fillId="0" borderId="60" xfId="0" applyNumberFormat="1" applyFont="1" applyBorder="1" applyAlignment="1" applyProtection="1">
      <alignment vertical="center"/>
    </xf>
    <xf numFmtId="180" fontId="34" fillId="0" borderId="12" xfId="0" applyNumberFormat="1" applyFont="1" applyBorder="1" applyAlignment="1" applyProtection="1">
      <alignment horizontal="left" vertical="center"/>
    </xf>
    <xf numFmtId="49" fontId="34" fillId="0" borderId="79" xfId="0" applyNumberFormat="1" applyFont="1" applyBorder="1" applyAlignment="1" applyProtection="1">
      <alignment horizontal="left" vertical="center"/>
    </xf>
    <xf numFmtId="0" fontId="79" fillId="0" borderId="2" xfId="0" applyFont="1" applyBorder="1" applyAlignment="1" applyProtection="1">
      <alignment horizontal="left" vertical="center"/>
    </xf>
    <xf numFmtId="0" fontId="34" fillId="0" borderId="102" xfId="0" applyFont="1" applyBorder="1" applyAlignment="1" applyProtection="1">
      <alignment horizontal="left" vertical="center"/>
    </xf>
    <xf numFmtId="0" fontId="16" fillId="0" borderId="68" xfId="0" applyFont="1" applyBorder="1" applyAlignment="1" applyProtection="1">
      <alignment vertical="center"/>
    </xf>
    <xf numFmtId="179" fontId="20" fillId="2" borderId="103" xfId="0" applyNumberFormat="1" applyFont="1" applyFill="1" applyBorder="1" applyAlignment="1" applyProtection="1">
      <alignment vertical="center"/>
      <protection locked="0"/>
    </xf>
    <xf numFmtId="179" fontId="20" fillId="2" borderId="1" xfId="0" applyNumberFormat="1" applyFont="1" applyFill="1" applyBorder="1" applyAlignment="1" applyProtection="1">
      <alignment vertical="center"/>
      <protection locked="0"/>
    </xf>
    <xf numFmtId="179" fontId="20" fillId="2" borderId="104" xfId="0" applyNumberFormat="1" applyFont="1" applyFill="1" applyBorder="1" applyAlignment="1" applyProtection="1">
      <alignment vertical="center"/>
      <protection locked="0"/>
    </xf>
    <xf numFmtId="0" fontId="14" fillId="0" borderId="60" xfId="0" applyFont="1" applyBorder="1" applyAlignment="1" applyProtection="1">
      <alignment vertical="center"/>
    </xf>
    <xf numFmtId="0" fontId="14" fillId="0" borderId="74" xfId="0" applyFont="1" applyBorder="1" applyAlignment="1" applyProtection="1">
      <alignment vertical="center"/>
    </xf>
    <xf numFmtId="0" fontId="87" fillId="0" borderId="68" xfId="0" applyFont="1" applyFill="1" applyBorder="1" applyAlignment="1" applyProtection="1">
      <alignment vertical="center"/>
    </xf>
    <xf numFmtId="0" fontId="88" fillId="0" borderId="68" xfId="0" applyFont="1" applyFill="1" applyBorder="1" applyAlignment="1" applyProtection="1">
      <alignment horizontal="right" vertical="center"/>
    </xf>
    <xf numFmtId="0" fontId="29" fillId="0" borderId="68" xfId="0" applyFont="1" applyFill="1" applyBorder="1" applyAlignment="1" applyProtection="1">
      <alignment horizontal="center" vertical="center"/>
    </xf>
    <xf numFmtId="0" fontId="24" fillId="0" borderId="68" xfId="0" applyFont="1" applyFill="1" applyBorder="1" applyAlignment="1" applyProtection="1">
      <alignment horizontal="center" vertical="center"/>
    </xf>
    <xf numFmtId="0" fontId="66" fillId="0" borderId="5" xfId="0" applyFont="1" applyBorder="1" applyAlignment="1" applyProtection="1"/>
    <xf numFmtId="0" fontId="76" fillId="0" borderId="2" xfId="0" applyFont="1" applyBorder="1" applyAlignment="1" applyProtection="1">
      <alignment horizontal="left" vertical="center"/>
    </xf>
    <xf numFmtId="0" fontId="16" fillId="0" borderId="105" xfId="0" applyFont="1" applyBorder="1" applyAlignment="1" applyProtection="1">
      <alignment horizontal="right" vertical="center"/>
    </xf>
    <xf numFmtId="0" fontId="14" fillId="0" borderId="2" xfId="0" applyFont="1" applyBorder="1" applyAlignment="1" applyProtection="1">
      <alignment horizontal="right" vertical="center" wrapText="1"/>
    </xf>
    <xf numFmtId="0" fontId="14" fillId="0" borderId="9" xfId="0" applyFont="1" applyBorder="1" applyAlignment="1" applyProtection="1">
      <alignment horizontal="right" vertical="center"/>
    </xf>
    <xf numFmtId="0" fontId="29" fillId="0" borderId="6" xfId="0" applyFont="1" applyFill="1" applyBorder="1" applyAlignment="1" applyProtection="1">
      <alignment horizontal="center" vertical="center"/>
    </xf>
    <xf numFmtId="0" fontId="17" fillId="7" borderId="106" xfId="0" applyFont="1" applyFill="1" applyBorder="1" applyAlignment="1" applyProtection="1">
      <alignment horizontal="center" vertical="top" wrapText="1"/>
    </xf>
    <xf numFmtId="44" fontId="16" fillId="0" borderId="22" xfId="0" applyNumberFormat="1" applyFont="1" applyFill="1" applyBorder="1" applyAlignment="1" applyProtection="1">
      <alignment horizontal="right" vertical="center"/>
    </xf>
    <xf numFmtId="44" fontId="16" fillId="6" borderId="22" xfId="0" applyNumberFormat="1" applyFont="1" applyFill="1" applyBorder="1" applyAlignment="1" applyProtection="1">
      <alignment horizontal="right" vertical="center"/>
    </xf>
    <xf numFmtId="0" fontId="17" fillId="8" borderId="107" xfId="0" applyFont="1" applyFill="1" applyBorder="1" applyAlignment="1" applyProtection="1">
      <alignment horizontal="center" vertical="top" wrapText="1"/>
    </xf>
    <xf numFmtId="0" fontId="14" fillId="0" borderId="92" xfId="0" applyFont="1" applyBorder="1" applyAlignment="1" applyProtection="1">
      <alignment vertical="center"/>
    </xf>
    <xf numFmtId="49" fontId="17" fillId="9" borderId="108" xfId="0" applyNumberFormat="1" applyFont="1" applyFill="1" applyBorder="1" applyAlignment="1" applyProtection="1">
      <alignment horizontal="left" vertical="center"/>
    </xf>
    <xf numFmtId="0" fontId="14" fillId="0" borderId="109" xfId="0" applyFont="1" applyBorder="1" applyAlignment="1" applyProtection="1">
      <alignment horizontal="left" vertical="center"/>
    </xf>
    <xf numFmtId="0" fontId="16" fillId="0" borderId="110" xfId="0" applyFont="1" applyBorder="1" applyAlignment="1" applyProtection="1">
      <alignment horizontal="right" vertical="center"/>
    </xf>
    <xf numFmtId="0" fontId="14" fillId="0" borderId="84" xfId="0" applyFont="1" applyBorder="1" applyAlignment="1" applyProtection="1">
      <alignment vertical="center"/>
    </xf>
    <xf numFmtId="178" fontId="17" fillId="2" borderId="79" xfId="0" applyNumberFormat="1" applyFont="1" applyFill="1" applyBorder="1" applyAlignment="1" applyProtection="1">
      <alignment horizontal="left" vertical="center"/>
    </xf>
    <xf numFmtId="0" fontId="14" fillId="0" borderId="42" xfId="0" applyFont="1" applyBorder="1" applyAlignment="1" applyProtection="1">
      <alignment horizontal="left" vertical="center"/>
    </xf>
    <xf numFmtId="49" fontId="17" fillId="2" borderId="12" xfId="0" applyNumberFormat="1" applyFont="1" applyFill="1" applyBorder="1" applyAlignment="1" applyProtection="1">
      <alignment vertical="center"/>
    </xf>
    <xf numFmtId="180" fontId="17" fillId="2" borderId="79" xfId="0" applyNumberFormat="1" applyFont="1" applyFill="1" applyBorder="1" applyAlignment="1" applyProtection="1">
      <alignment horizontal="left" vertical="center"/>
    </xf>
    <xf numFmtId="49" fontId="17" fillId="2" borderId="12" xfId="0" applyNumberFormat="1" applyFont="1" applyFill="1" applyBorder="1" applyAlignment="1" applyProtection="1">
      <alignment horizontal="left" vertical="center"/>
    </xf>
    <xf numFmtId="0" fontId="17" fillId="2" borderId="80" xfId="0" applyFont="1" applyFill="1" applyBorder="1" applyAlignment="1" applyProtection="1">
      <alignment horizontal="left" vertical="center"/>
    </xf>
    <xf numFmtId="0" fontId="17" fillId="2" borderId="26" xfId="0" applyFont="1" applyFill="1" applyBorder="1" applyAlignment="1" applyProtection="1">
      <alignment horizontal="left" vertical="center"/>
    </xf>
    <xf numFmtId="49" fontId="17" fillId="2" borderId="35" xfId="0" applyNumberFormat="1" applyFont="1" applyFill="1" applyBorder="1" applyAlignment="1" applyProtection="1">
      <alignment vertical="center"/>
    </xf>
    <xf numFmtId="0" fontId="16" fillId="0" borderId="79" xfId="0" applyFont="1" applyBorder="1" applyAlignment="1" applyProtection="1">
      <alignment horizontal="right" vertical="center"/>
    </xf>
    <xf numFmtId="49" fontId="17" fillId="2" borderId="79" xfId="0" applyNumberFormat="1" applyFont="1" applyFill="1" applyBorder="1" applyAlignment="1" applyProtection="1">
      <alignment vertical="center"/>
    </xf>
    <xf numFmtId="49" fontId="17" fillId="2" borderId="26" xfId="0" applyNumberFormat="1" applyFont="1" applyFill="1" applyBorder="1" applyAlignment="1" applyProtection="1">
      <alignment vertical="center"/>
    </xf>
    <xf numFmtId="0" fontId="7" fillId="0" borderId="0" xfId="0" applyFont="1" applyFill="1" applyBorder="1" applyAlignment="1" applyProtection="1">
      <alignment vertical="center"/>
    </xf>
    <xf numFmtId="49" fontId="17" fillId="2" borderId="6" xfId="0" applyNumberFormat="1" applyFont="1" applyFill="1" applyBorder="1" applyAlignment="1" applyProtection="1">
      <alignment horizontal="left" vertical="center"/>
    </xf>
    <xf numFmtId="181" fontId="17" fillId="2" borderId="12" xfId="0" applyNumberFormat="1" applyFont="1" applyFill="1" applyBorder="1" applyAlignment="1" applyProtection="1">
      <alignment horizontal="left" vertical="center"/>
    </xf>
    <xf numFmtId="0" fontId="14" fillId="0" borderId="93" xfId="0" applyFont="1" applyBorder="1" applyAlignment="1" applyProtection="1">
      <alignment vertical="center"/>
    </xf>
    <xf numFmtId="1" fontId="67" fillId="3" borderId="12" xfId="0" applyNumberFormat="1" applyFont="1" applyFill="1" applyBorder="1" applyAlignment="1" applyProtection="1">
      <alignment horizontal="center" vertical="center"/>
    </xf>
    <xf numFmtId="0" fontId="14" fillId="0" borderId="94" xfId="0" applyFont="1" applyBorder="1" applyAlignment="1" applyProtection="1">
      <alignment horizontal="right" vertical="center"/>
    </xf>
    <xf numFmtId="0" fontId="14" fillId="0" borderId="95" xfId="0" applyFont="1" applyBorder="1" applyAlignment="1" applyProtection="1">
      <alignment horizontal="right" vertical="center"/>
    </xf>
    <xf numFmtId="182" fontId="17" fillId="2" borderId="36" xfId="0" applyNumberFormat="1" applyFont="1" applyFill="1" applyBorder="1" applyAlignment="1" applyProtection="1">
      <alignment horizontal="left" vertical="center"/>
    </xf>
    <xf numFmtId="0" fontId="14" fillId="0" borderId="84" xfId="0" applyFont="1" applyBorder="1" applyAlignment="1" applyProtection="1">
      <alignment horizontal="right" vertical="center"/>
    </xf>
    <xf numFmtId="180" fontId="17" fillId="2" borderId="38" xfId="0" applyNumberFormat="1" applyFont="1" applyFill="1" applyBorder="1" applyAlignment="1" applyProtection="1">
      <alignment horizontal="left" vertical="center"/>
    </xf>
    <xf numFmtId="0" fontId="17" fillId="2" borderId="38" xfId="0" applyNumberFormat="1" applyFont="1" applyFill="1" applyBorder="1" applyAlignment="1" applyProtection="1">
      <alignment horizontal="left" vertical="center"/>
    </xf>
    <xf numFmtId="0" fontId="14" fillId="0" borderId="7" xfId="0" applyFont="1" applyBorder="1" applyAlignment="1" applyProtection="1">
      <alignment horizontal="right" vertical="center"/>
    </xf>
    <xf numFmtId="0" fontId="16" fillId="0" borderId="26" xfId="0" applyFont="1" applyBorder="1" applyAlignment="1" applyProtection="1">
      <alignment horizontal="left" vertical="center"/>
    </xf>
    <xf numFmtId="0" fontId="29" fillId="0" borderId="0" xfId="0" applyFont="1" applyFill="1" applyBorder="1" applyAlignment="1" applyProtection="1">
      <alignment horizontal="left" vertical="center"/>
    </xf>
    <xf numFmtId="0" fontId="25" fillId="0" borderId="33" xfId="0" applyFont="1" applyBorder="1" applyAlignment="1" applyProtection="1">
      <alignment horizontal="left" vertical="center"/>
    </xf>
    <xf numFmtId="0" fontId="31" fillId="0" borderId="44" xfId="0" applyFont="1" applyFill="1" applyBorder="1" applyAlignment="1" applyProtection="1">
      <alignment horizontal="center" vertical="center"/>
    </xf>
    <xf numFmtId="1" fontId="43" fillId="0" borderId="43" xfId="0" applyNumberFormat="1" applyFont="1" applyFill="1" applyBorder="1" applyAlignment="1" applyProtection="1">
      <alignment horizontal="center" vertical="center"/>
    </xf>
    <xf numFmtId="9" fontId="89" fillId="0" borderId="111" xfId="0" applyNumberFormat="1" applyFont="1" applyFill="1" applyBorder="1" applyAlignment="1" applyProtection="1">
      <alignment vertical="center"/>
    </xf>
    <xf numFmtId="9" fontId="89" fillId="0" borderId="111" xfId="0" applyNumberFormat="1" applyFont="1" applyFill="1" applyBorder="1" applyAlignment="1" applyProtection="1">
      <alignment horizontal="center" vertical="center"/>
    </xf>
    <xf numFmtId="49" fontId="17" fillId="2" borderId="12" xfId="0" applyNumberFormat="1" applyFont="1" applyFill="1" applyBorder="1" applyAlignment="1" applyProtection="1">
      <alignment vertical="center"/>
      <protection locked="0"/>
    </xf>
    <xf numFmtId="49" fontId="17" fillId="9" borderId="112" xfId="0" applyNumberFormat="1" applyFont="1" applyFill="1" applyBorder="1" applyAlignment="1" applyProtection="1">
      <alignment horizontal="left" vertical="center"/>
      <protection locked="0"/>
    </xf>
    <xf numFmtId="0" fontId="14" fillId="0" borderId="109" xfId="0" applyFont="1" applyBorder="1" applyAlignment="1">
      <alignment vertical="center"/>
    </xf>
    <xf numFmtId="0" fontId="16" fillId="0" borderId="13" xfId="0" applyFont="1" applyBorder="1" applyAlignment="1">
      <alignment horizontal="right" vertical="center"/>
    </xf>
    <xf numFmtId="178" fontId="17" fillId="2" borderId="12" xfId="0" applyNumberFormat="1" applyFont="1" applyFill="1" applyBorder="1" applyAlignment="1" applyProtection="1">
      <alignment horizontal="left" vertical="center"/>
      <protection locked="0"/>
    </xf>
    <xf numFmtId="0" fontId="14" fillId="0" borderId="42" xfId="0" applyFont="1" applyBorder="1" applyAlignment="1">
      <alignment vertical="center"/>
    </xf>
    <xf numFmtId="49" fontId="14" fillId="0" borderId="5" xfId="0" applyNumberFormat="1" applyFont="1" applyBorder="1" applyAlignment="1" applyProtection="1">
      <alignment vertical="center"/>
    </xf>
    <xf numFmtId="180" fontId="17" fillId="2" borderId="12" xfId="0" applyNumberFormat="1" applyFont="1" applyFill="1" applyBorder="1" applyAlignment="1" applyProtection="1">
      <alignment horizontal="left" vertical="center"/>
      <protection locked="0"/>
    </xf>
    <xf numFmtId="49" fontId="17" fillId="2" borderId="28" xfId="0" applyNumberFormat="1" applyFont="1" applyFill="1" applyBorder="1" applyAlignment="1" applyProtection="1">
      <alignment horizontal="left" vertical="center"/>
      <protection locked="0"/>
    </xf>
    <xf numFmtId="49" fontId="16" fillId="0" borderId="5" xfId="0" applyNumberFormat="1" applyFont="1" applyFill="1" applyBorder="1" applyAlignment="1" applyProtection="1">
      <alignment vertical="center"/>
    </xf>
    <xf numFmtId="49" fontId="16" fillId="0" borderId="0" xfId="0" applyNumberFormat="1" applyFont="1" applyFill="1" applyBorder="1" applyAlignment="1" applyProtection="1">
      <alignment horizontal="right" vertical="center"/>
    </xf>
    <xf numFmtId="49" fontId="17" fillId="2" borderId="80" xfId="0" applyNumberFormat="1" applyFont="1" applyFill="1" applyBorder="1" applyAlignment="1" applyProtection="1">
      <alignment horizontal="left" vertical="center"/>
      <protection locked="0"/>
    </xf>
    <xf numFmtId="49" fontId="17" fillId="2" borderId="26" xfId="0" applyNumberFormat="1" applyFont="1" applyFill="1" applyBorder="1" applyAlignment="1" applyProtection="1">
      <alignment horizontal="left" vertical="center"/>
      <protection locked="0"/>
    </xf>
    <xf numFmtId="49" fontId="16" fillId="0" borderId="79" xfId="0" applyNumberFormat="1" applyFont="1" applyBorder="1" applyAlignment="1" applyProtection="1">
      <alignment horizontal="right" vertical="center"/>
    </xf>
    <xf numFmtId="49" fontId="16" fillId="0" borderId="79" xfId="0" applyNumberFormat="1" applyFont="1" applyBorder="1" applyAlignment="1">
      <alignment horizontal="right" vertical="center"/>
    </xf>
    <xf numFmtId="49" fontId="17" fillId="0" borderId="0" xfId="0" applyNumberFormat="1" applyFont="1" applyFill="1" applyBorder="1" applyAlignment="1" applyProtection="1">
      <alignment vertical="center"/>
    </xf>
    <xf numFmtId="49" fontId="17" fillId="0" borderId="5" xfId="0" applyNumberFormat="1" applyFont="1" applyFill="1" applyBorder="1" applyAlignment="1" applyProtection="1">
      <alignment vertical="center"/>
      <protection locked="0"/>
    </xf>
    <xf numFmtId="181" fontId="17" fillId="2" borderId="6" xfId="0" applyNumberFormat="1" applyFont="1" applyFill="1" applyBorder="1" applyAlignment="1" applyProtection="1">
      <alignment horizontal="left" vertical="center"/>
      <protection locked="0"/>
    </xf>
    <xf numFmtId="174" fontId="80" fillId="2" borderId="2" xfId="14" applyNumberFormat="1" applyFont="1" applyFill="1" applyBorder="1" applyAlignment="1" applyProtection="1">
      <alignment vertical="center"/>
      <protection locked="0"/>
    </xf>
    <xf numFmtId="174" fontId="80" fillId="2" borderId="0" xfId="14" applyNumberFormat="1" applyFont="1" applyFill="1" applyBorder="1" applyAlignment="1" applyProtection="1">
      <alignment vertical="center"/>
      <protection locked="0"/>
    </xf>
    <xf numFmtId="0" fontId="70" fillId="2" borderId="0" xfId="14" applyFont="1" applyFill="1" applyBorder="1" applyAlignment="1" applyProtection="1">
      <alignment vertical="center"/>
      <protection locked="0"/>
    </xf>
    <xf numFmtId="0" fontId="81" fillId="2" borderId="0" xfId="14" applyFont="1" applyFill="1" applyBorder="1" applyAlignment="1" applyProtection="1">
      <alignment vertical="center"/>
      <protection locked="0"/>
    </xf>
    <xf numFmtId="174" fontId="70" fillId="2" borderId="0" xfId="14" applyNumberFormat="1" applyFont="1" applyFill="1" applyBorder="1" applyAlignment="1" applyProtection="1">
      <alignment vertical="center"/>
      <protection locked="0"/>
    </xf>
    <xf numFmtId="0" fontId="31" fillId="2" borderId="0" xfId="0" applyFont="1" applyFill="1" applyBorder="1" applyAlignment="1" applyProtection="1">
      <alignment horizontal="right" vertical="center"/>
      <protection locked="0"/>
    </xf>
    <xf numFmtId="0" fontId="15" fillId="2" borderId="0" xfId="0" applyFont="1" applyFill="1" applyBorder="1" applyAlignment="1" applyProtection="1">
      <alignment vertical="center"/>
      <protection locked="0"/>
    </xf>
    <xf numFmtId="0" fontId="5" fillId="2" borderId="0" xfId="0" applyFont="1" applyFill="1" applyBorder="1" applyAlignment="1" applyProtection="1">
      <alignment vertical="center"/>
      <protection locked="0"/>
    </xf>
    <xf numFmtId="170" fontId="30" fillId="2" borderId="5" xfId="0" applyNumberFormat="1" applyFont="1" applyFill="1" applyBorder="1" applyAlignment="1" applyProtection="1">
      <alignment vertical="center"/>
      <protection locked="0"/>
    </xf>
    <xf numFmtId="174" fontId="6" fillId="2" borderId="2" xfId="14" applyNumberFormat="1" applyFont="1" applyFill="1" applyBorder="1" applyAlignment="1" applyProtection="1">
      <alignment horizontal="right" vertical="center"/>
      <protection locked="0"/>
    </xf>
    <xf numFmtId="174" fontId="80" fillId="2" borderId="0" xfId="14" applyNumberFormat="1" applyFont="1" applyFill="1" applyBorder="1" applyAlignment="1" applyProtection="1">
      <alignment horizontal="left" vertical="center"/>
      <protection locked="0"/>
    </xf>
    <xf numFmtId="174" fontId="80" fillId="2" borderId="2" xfId="14" applyNumberFormat="1" applyFont="1" applyFill="1" applyBorder="1" applyAlignment="1" applyProtection="1">
      <alignment horizontal="left" vertical="center"/>
      <protection locked="0"/>
    </xf>
    <xf numFmtId="0" fontId="66" fillId="2" borderId="2" xfId="14" applyFont="1" applyFill="1" applyBorder="1" applyAlignment="1" applyProtection="1">
      <alignment vertical="center"/>
      <protection locked="0"/>
    </xf>
    <xf numFmtId="174" fontId="82" fillId="2" borderId="0" xfId="14" applyNumberFormat="1" applyFont="1" applyFill="1" applyBorder="1" applyAlignment="1" applyProtection="1">
      <alignment horizontal="right" vertical="center"/>
      <protection locked="0"/>
    </xf>
    <xf numFmtId="9" fontId="70" fillId="2" borderId="10" xfId="14" applyNumberFormat="1" applyFont="1" applyFill="1" applyBorder="1" applyAlignment="1" applyProtection="1">
      <alignment vertical="center"/>
      <protection locked="0"/>
    </xf>
    <xf numFmtId="0" fontId="70" fillId="2" borderId="10" xfId="14" applyFont="1" applyFill="1" applyBorder="1" applyAlignment="1" applyProtection="1">
      <alignment vertical="center"/>
      <protection locked="0"/>
    </xf>
    <xf numFmtId="0" fontId="14" fillId="2" borderId="0" xfId="0" applyFont="1" applyFill="1" applyBorder="1" applyAlignment="1" applyProtection="1">
      <alignment vertical="center"/>
      <protection locked="0"/>
    </xf>
    <xf numFmtId="39" fontId="70" fillId="2" borderId="0" xfId="14" applyNumberFormat="1" applyFont="1" applyFill="1" applyBorder="1" applyAlignment="1" applyProtection="1">
      <alignment vertical="center"/>
      <protection locked="0"/>
    </xf>
    <xf numFmtId="39" fontId="70" fillId="2" borderId="10" xfId="14" applyNumberFormat="1" applyFont="1" applyFill="1" applyBorder="1" applyAlignment="1" applyProtection="1">
      <alignment vertical="center"/>
      <protection locked="0"/>
    </xf>
    <xf numFmtId="174" fontId="80" fillId="2" borderId="8" xfId="14" applyNumberFormat="1" applyFont="1" applyFill="1" applyBorder="1" applyAlignment="1" applyProtection="1">
      <alignment vertical="center"/>
      <protection locked="0"/>
    </xf>
    <xf numFmtId="174" fontId="6" fillId="2" borderId="4" xfId="14" applyNumberFormat="1" applyFont="1" applyFill="1" applyBorder="1" applyAlignment="1" applyProtection="1">
      <alignment vertical="center"/>
      <protection locked="0"/>
    </xf>
    <xf numFmtId="0" fontId="5" fillId="2" borderId="4" xfId="14" applyFont="1" applyFill="1" applyBorder="1" applyAlignment="1" applyProtection="1">
      <alignment vertical="center"/>
      <protection locked="0"/>
    </xf>
    <xf numFmtId="174" fontId="5" fillId="2" borderId="4" xfId="14" applyNumberFormat="1" applyFont="1" applyFill="1" applyBorder="1" applyAlignment="1" applyProtection="1">
      <alignment vertical="center"/>
      <protection locked="0"/>
    </xf>
    <xf numFmtId="0" fontId="31" fillId="2" borderId="4" xfId="0" applyFont="1" applyFill="1" applyBorder="1" applyAlignment="1" applyProtection="1">
      <alignment horizontal="right" vertical="center"/>
      <protection locked="0"/>
    </xf>
    <xf numFmtId="174" fontId="82" fillId="2" borderId="2" xfId="14" applyNumberFormat="1" applyFont="1" applyFill="1" applyBorder="1" applyAlignment="1" applyProtection="1">
      <alignment vertical="center"/>
      <protection locked="0"/>
    </xf>
    <xf numFmtId="0" fontId="69" fillId="2" borderId="0" xfId="0" applyFont="1" applyFill="1" applyBorder="1" applyAlignment="1" applyProtection="1">
      <alignment vertical="center"/>
      <protection locked="0"/>
    </xf>
    <xf numFmtId="0" fontId="70" fillId="2" borderId="5" xfId="14" applyFont="1" applyFill="1" applyBorder="1" applyAlignment="1" applyProtection="1">
      <alignment vertical="center"/>
      <protection locked="0"/>
    </xf>
    <xf numFmtId="0" fontId="15" fillId="2"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right" vertical="center"/>
      <protection locked="0"/>
    </xf>
    <xf numFmtId="0" fontId="14" fillId="2" borderId="10" xfId="0" applyFont="1" applyFill="1" applyBorder="1" applyAlignment="1" applyProtection="1">
      <alignment vertical="center"/>
      <protection locked="0"/>
    </xf>
    <xf numFmtId="0" fontId="30" fillId="2" borderId="10" xfId="0" applyFont="1" applyFill="1" applyBorder="1" applyAlignment="1" applyProtection="1">
      <alignment horizontal="right" vertical="center"/>
      <protection locked="0"/>
    </xf>
    <xf numFmtId="39" fontId="70" fillId="2" borderId="5" xfId="14" applyNumberFormat="1" applyFont="1" applyFill="1" applyBorder="1" applyAlignment="1" applyProtection="1">
      <alignment vertical="center"/>
      <protection locked="0"/>
    </xf>
    <xf numFmtId="174" fontId="82" fillId="2" borderId="2" xfId="14" applyNumberFormat="1" applyFont="1" applyFill="1" applyBorder="1" applyAlignment="1" applyProtection="1">
      <alignment horizontal="left" vertical="center"/>
      <protection locked="0"/>
    </xf>
    <xf numFmtId="174" fontId="82" fillId="2" borderId="0" xfId="14" applyNumberFormat="1" applyFont="1" applyFill="1" applyBorder="1" applyAlignment="1" applyProtection="1">
      <alignment horizontal="left" vertical="center"/>
      <protection locked="0"/>
    </xf>
    <xf numFmtId="9" fontId="70" fillId="2" borderId="0" xfId="14" applyNumberFormat="1" applyFont="1" applyFill="1" applyBorder="1" applyAlignment="1" applyProtection="1">
      <alignment vertical="center"/>
      <protection locked="0"/>
    </xf>
    <xf numFmtId="0" fontId="69" fillId="2" borderId="0" xfId="0" applyFont="1" applyFill="1" applyBorder="1" applyAlignment="1" applyProtection="1">
      <alignment horizontal="right" vertical="center"/>
      <protection locked="0"/>
    </xf>
    <xf numFmtId="49" fontId="75" fillId="10" borderId="75" xfId="0" applyNumberFormat="1" applyFont="1" applyFill="1" applyBorder="1" applyAlignment="1" applyProtection="1">
      <alignment horizontal="center" vertical="center"/>
    </xf>
    <xf numFmtId="179" fontId="20" fillId="10" borderId="68" xfId="0" applyNumberFormat="1" applyFont="1" applyFill="1" applyBorder="1" applyAlignment="1" applyProtection="1">
      <alignment vertical="center"/>
    </xf>
    <xf numFmtId="0" fontId="14" fillId="10" borderId="68" xfId="0" applyFont="1" applyFill="1" applyBorder="1" applyAlignment="1" applyProtection="1">
      <alignment vertical="center"/>
    </xf>
    <xf numFmtId="0" fontId="4" fillId="10" borderId="68" xfId="0" applyFont="1" applyFill="1" applyBorder="1" applyAlignment="1" applyProtection="1">
      <alignment vertical="center"/>
    </xf>
    <xf numFmtId="179" fontId="5" fillId="10" borderId="68" xfId="0" applyNumberFormat="1" applyFont="1" applyFill="1" applyBorder="1" applyAlignment="1" applyProtection="1">
      <alignment vertical="center"/>
    </xf>
    <xf numFmtId="179" fontId="4" fillId="10" borderId="69" xfId="0" applyNumberFormat="1" applyFont="1" applyFill="1" applyBorder="1" applyAlignment="1" applyProtection="1">
      <alignment vertical="center"/>
    </xf>
    <xf numFmtId="0" fontId="29" fillId="2" borderId="28" xfId="0" applyFont="1" applyFill="1" applyBorder="1" applyAlignment="1" applyProtection="1">
      <alignment horizontal="center" vertical="center"/>
    </xf>
    <xf numFmtId="0" fontId="29" fillId="2" borderId="12" xfId="0" applyFont="1" applyFill="1" applyBorder="1" applyAlignment="1" applyProtection="1">
      <alignment horizontal="center" vertical="center"/>
    </xf>
    <xf numFmtId="0" fontId="29" fillId="2" borderId="44" xfId="0" applyFont="1" applyFill="1" applyBorder="1" applyAlignment="1" applyProtection="1">
      <alignment horizontal="center" vertical="center"/>
    </xf>
    <xf numFmtId="0" fontId="32" fillId="0" borderId="4" xfId="0" applyFont="1" applyFill="1" applyBorder="1" applyAlignment="1" applyProtection="1">
      <alignment horizontal="right" vertical="center"/>
    </xf>
    <xf numFmtId="0" fontId="7" fillId="0" borderId="62" xfId="0" applyFont="1" applyBorder="1" applyAlignment="1" applyProtection="1">
      <alignment horizontal="center" wrapText="1"/>
    </xf>
    <xf numFmtId="0" fontId="7" fillId="0" borderId="65" xfId="0" applyFont="1" applyBorder="1" applyAlignment="1" applyProtection="1">
      <alignment horizontal="center" wrapText="1"/>
    </xf>
    <xf numFmtId="0" fontId="0" fillId="0" borderId="0" xfId="0" applyBorder="1"/>
    <xf numFmtId="0" fontId="0" fillId="0" borderId="5" xfId="0" applyBorder="1"/>
    <xf numFmtId="174" fontId="6" fillId="2" borderId="2" xfId="14" applyNumberFormat="1" applyFont="1" applyFill="1" applyBorder="1" applyAlignment="1" applyProtection="1">
      <alignment horizontal="left" vertical="center"/>
      <protection locked="0"/>
    </xf>
    <xf numFmtId="0" fontId="6" fillId="2" borderId="0" xfId="14" applyFont="1" applyFill="1" applyBorder="1" applyAlignment="1" applyProtection="1">
      <alignment vertical="center"/>
      <protection locked="0"/>
    </xf>
    <xf numFmtId="0" fontId="30" fillId="2" borderId="0" xfId="0" applyFont="1" applyFill="1" applyBorder="1" applyAlignment="1" applyProtection="1">
      <alignment vertical="center"/>
      <protection locked="0"/>
    </xf>
    <xf numFmtId="174" fontId="82" fillId="2" borderId="9" xfId="14" applyNumberFormat="1" applyFont="1" applyFill="1" applyBorder="1" applyAlignment="1" applyProtection="1">
      <alignment horizontal="left" vertical="center"/>
      <protection locked="0"/>
    </xf>
    <xf numFmtId="0" fontId="80" fillId="2" borderId="10" xfId="14" applyFont="1" applyFill="1" applyBorder="1" applyAlignment="1" applyProtection="1">
      <alignment horizontal="right" vertical="center"/>
      <protection locked="0"/>
    </xf>
    <xf numFmtId="0" fontId="69" fillId="2" borderId="10" xfId="0" applyFont="1" applyFill="1" applyBorder="1" applyAlignment="1" applyProtection="1">
      <alignment vertical="center"/>
      <protection locked="0"/>
    </xf>
    <xf numFmtId="0" fontId="69" fillId="2" borderId="10" xfId="0" applyFont="1" applyFill="1" applyBorder="1" applyAlignment="1" applyProtection="1">
      <alignment horizontal="right" vertical="center"/>
      <protection locked="0"/>
    </xf>
    <xf numFmtId="39" fontId="70" fillId="2" borderId="74" xfId="14" applyNumberFormat="1" applyFont="1" applyFill="1" applyBorder="1" applyAlignment="1" applyProtection="1">
      <alignment vertical="center"/>
      <protection locked="0"/>
    </xf>
    <xf numFmtId="174" fontId="82" fillId="2" borderId="2" xfId="14" applyNumberFormat="1" applyFont="1" applyFill="1" applyBorder="1" applyAlignment="1" applyProtection="1">
      <alignment horizontal="center" vertical="center"/>
      <protection locked="0"/>
    </xf>
    <xf numFmtId="0" fontId="6" fillId="2" borderId="8" xfId="14" applyFont="1" applyFill="1" applyBorder="1" applyAlignment="1" applyProtection="1">
      <alignment horizontal="center" vertical="center"/>
      <protection locked="0"/>
    </xf>
    <xf numFmtId="174" fontId="80" fillId="2" borderId="13" xfId="14" applyNumberFormat="1" applyFont="1" applyFill="1" applyBorder="1" applyAlignment="1" applyProtection="1">
      <alignment vertical="center"/>
      <protection locked="0"/>
    </xf>
    <xf numFmtId="0" fontId="70" fillId="2" borderId="13" xfId="14" applyFont="1" applyFill="1" applyBorder="1" applyAlignment="1" applyProtection="1">
      <alignment vertical="center"/>
      <protection locked="0"/>
    </xf>
    <xf numFmtId="0" fontId="81" fillId="2" borderId="13" xfId="14" applyFont="1" applyFill="1" applyBorder="1" applyAlignment="1" applyProtection="1">
      <alignment vertical="center"/>
      <protection locked="0"/>
    </xf>
    <xf numFmtId="174" fontId="70" fillId="2" borderId="13" xfId="14" applyNumberFormat="1" applyFont="1" applyFill="1" applyBorder="1" applyAlignment="1" applyProtection="1">
      <alignment vertical="center"/>
      <protection locked="0"/>
    </xf>
    <xf numFmtId="0" fontId="31" fillId="2" borderId="13" xfId="0" applyFont="1" applyFill="1" applyBorder="1" applyAlignment="1" applyProtection="1">
      <alignment horizontal="right" vertical="center"/>
      <protection locked="0"/>
    </xf>
    <xf numFmtId="0" fontId="15" fillId="2" borderId="13" xfId="0" applyFont="1" applyFill="1" applyBorder="1" applyAlignment="1" applyProtection="1">
      <alignment vertical="center"/>
      <protection locked="0"/>
    </xf>
    <xf numFmtId="0" fontId="5" fillId="2" borderId="13" xfId="0" applyFont="1" applyFill="1" applyBorder="1" applyAlignment="1" applyProtection="1">
      <alignment vertical="center"/>
      <protection locked="0"/>
    </xf>
    <xf numFmtId="170" fontId="30" fillId="2" borderId="20" xfId="0" applyNumberFormat="1" applyFont="1" applyFill="1" applyBorder="1" applyAlignment="1" applyProtection="1">
      <alignment vertical="center"/>
      <protection locked="0"/>
    </xf>
    <xf numFmtId="0" fontId="15" fillId="2" borderId="5" xfId="0" applyFont="1" applyFill="1" applyBorder="1" applyAlignment="1" applyProtection="1">
      <alignment vertical="center"/>
      <protection locked="0"/>
    </xf>
    <xf numFmtId="0" fontId="15" fillId="2" borderId="74" xfId="0" applyFont="1" applyFill="1" applyBorder="1" applyAlignment="1" applyProtection="1">
      <alignment vertical="center"/>
      <protection locked="0"/>
    </xf>
    <xf numFmtId="0" fontId="15" fillId="2" borderId="22" xfId="0" applyFont="1" applyFill="1" applyBorder="1" applyAlignment="1" applyProtection="1">
      <alignment vertical="center"/>
      <protection locked="0"/>
    </xf>
    <xf numFmtId="43" fontId="5" fillId="0" borderId="12" xfId="0" applyNumberFormat="1" applyFont="1" applyFill="1" applyBorder="1" applyAlignment="1" applyProtection="1">
      <alignment horizontal="right" vertical="center"/>
    </xf>
    <xf numFmtId="43" fontId="5" fillId="0" borderId="79" xfId="0" applyNumberFormat="1" applyFont="1" applyFill="1" applyBorder="1" applyAlignment="1" applyProtection="1">
      <alignment horizontal="right" vertical="center"/>
    </xf>
    <xf numFmtId="43" fontId="5" fillId="0" borderId="38" xfId="0" applyNumberFormat="1" applyFont="1" applyFill="1" applyBorder="1" applyAlignment="1" applyProtection="1">
      <alignment horizontal="right" vertical="center"/>
    </xf>
    <xf numFmtId="43" fontId="5" fillId="0" borderId="37" xfId="0" applyNumberFormat="1" applyFont="1" applyFill="1" applyBorder="1" applyAlignment="1" applyProtection="1">
      <alignment horizontal="right" vertical="center"/>
    </xf>
    <xf numFmtId="43" fontId="20" fillId="2" borderId="103" xfId="0" applyNumberFormat="1" applyFont="1" applyFill="1" applyBorder="1" applyAlignment="1" applyProtection="1">
      <alignment vertical="center"/>
      <protection locked="0"/>
    </xf>
    <xf numFmtId="43" fontId="20" fillId="2" borderId="1" xfId="0" applyNumberFormat="1" applyFont="1" applyFill="1" applyBorder="1" applyAlignment="1" applyProtection="1">
      <alignment vertical="center"/>
      <protection locked="0"/>
    </xf>
    <xf numFmtId="0" fontId="17" fillId="0" borderId="4" xfId="0" applyFont="1" applyFill="1" applyBorder="1" applyAlignment="1" applyProtection="1">
      <alignment horizontal="right" vertical="center"/>
    </xf>
    <xf numFmtId="44" fontId="20" fillId="2" borderId="46" xfId="0" applyNumberFormat="1" applyFont="1" applyFill="1" applyBorder="1" applyAlignment="1" applyProtection="1">
      <alignment vertical="center"/>
      <protection locked="0"/>
    </xf>
    <xf numFmtId="44" fontId="4" fillId="0" borderId="46" xfId="0" applyNumberFormat="1" applyFont="1" applyBorder="1" applyAlignment="1" applyProtection="1">
      <alignment vertical="center"/>
    </xf>
    <xf numFmtId="44" fontId="4" fillId="0" borderId="47" xfId="0" applyNumberFormat="1" applyFont="1" applyBorder="1" applyAlignment="1" applyProtection="1">
      <alignment vertical="center"/>
    </xf>
    <xf numFmtId="44" fontId="7" fillId="0" borderId="62" xfId="0" applyNumberFormat="1" applyFont="1" applyBorder="1" applyAlignment="1" applyProtection="1">
      <alignment vertical="center"/>
    </xf>
    <xf numFmtId="44" fontId="7" fillId="0" borderId="65" xfId="0" applyNumberFormat="1" applyFont="1" applyBorder="1" applyAlignment="1" applyProtection="1">
      <alignment vertical="center"/>
    </xf>
    <xf numFmtId="44" fontId="20" fillId="2" borderId="118" xfId="0" applyNumberFormat="1" applyFont="1" applyFill="1" applyBorder="1" applyAlignment="1" applyProtection="1">
      <alignment vertical="center"/>
      <protection locked="0"/>
    </xf>
    <xf numFmtId="44" fontId="4" fillId="0" borderId="119" xfId="0" applyNumberFormat="1" applyFont="1" applyBorder="1" applyAlignment="1" applyProtection="1">
      <alignment vertical="center"/>
    </xf>
    <xf numFmtId="44" fontId="20" fillId="0" borderId="77" xfId="0" applyNumberFormat="1" applyFont="1" applyFill="1" applyBorder="1" applyAlignment="1" applyProtection="1">
      <alignment vertical="center"/>
    </xf>
    <xf numFmtId="44" fontId="4" fillId="0" borderId="77" xfId="0" applyNumberFormat="1" applyFont="1" applyFill="1" applyBorder="1" applyAlignment="1" applyProtection="1">
      <alignment vertical="center"/>
    </xf>
    <xf numFmtId="44" fontId="4" fillId="0" borderId="99" xfId="0" applyNumberFormat="1" applyFont="1" applyFill="1" applyBorder="1" applyAlignment="1" applyProtection="1">
      <alignment vertical="center"/>
    </xf>
    <xf numFmtId="0" fontId="17" fillId="0" borderId="79" xfId="0" applyFont="1" applyBorder="1" applyAlignment="1">
      <alignment horizontal="center" vertical="center"/>
    </xf>
    <xf numFmtId="0" fontId="17" fillId="0" borderId="6" xfId="0" applyFont="1" applyBorder="1" applyAlignment="1">
      <alignment horizontal="center" vertical="center"/>
    </xf>
    <xf numFmtId="0" fontId="17" fillId="0" borderId="6" xfId="0" applyFont="1" applyBorder="1" applyAlignment="1">
      <alignment horizontal="center" vertical="center" wrapText="1"/>
    </xf>
    <xf numFmtId="0" fontId="17" fillId="0" borderId="80" xfId="0" applyFont="1" applyBorder="1" applyAlignment="1">
      <alignment horizontal="center" vertical="center" wrapText="1"/>
    </xf>
    <xf numFmtId="44" fontId="17" fillId="0" borderId="80" xfId="0" applyNumberFormat="1" applyFont="1" applyBorder="1" applyAlignment="1">
      <alignment horizontal="center" vertical="center" wrapText="1"/>
    </xf>
    <xf numFmtId="43" fontId="22" fillId="2" borderId="28" xfId="0" applyNumberFormat="1" applyFont="1" applyFill="1" applyBorder="1" applyAlignment="1" applyProtection="1">
      <alignment vertical="center"/>
      <protection locked="0"/>
    </xf>
    <xf numFmtId="43" fontId="22" fillId="2" borderId="31" xfId="0" applyNumberFormat="1" applyFont="1" applyFill="1" applyBorder="1" applyAlignment="1" applyProtection="1">
      <alignment vertical="center"/>
      <protection locked="0"/>
    </xf>
    <xf numFmtId="43" fontId="17" fillId="0" borderId="29" xfId="0" applyNumberFormat="1" applyFont="1" applyBorder="1" applyAlignment="1">
      <alignment horizontal="right" vertical="center"/>
    </xf>
    <xf numFmtId="43" fontId="16" fillId="0" borderId="37" xfId="0" applyNumberFormat="1" applyFont="1" applyBorder="1" applyAlignment="1">
      <alignment vertical="center"/>
    </xf>
    <xf numFmtId="43" fontId="22" fillId="2" borderId="6" xfId="0" applyNumberFormat="1" applyFont="1" applyFill="1" applyBorder="1" applyAlignment="1" applyProtection="1">
      <alignment vertical="center"/>
      <protection locked="0"/>
    </xf>
    <xf numFmtId="43" fontId="20" fillId="2" borderId="28" xfId="0" applyNumberFormat="1" applyFont="1" applyFill="1" applyBorder="1" applyAlignment="1" applyProtection="1">
      <alignment vertical="center"/>
      <protection locked="0"/>
    </xf>
    <xf numFmtId="43" fontId="20" fillId="2" borderId="31" xfId="0" applyNumberFormat="1" applyFont="1" applyFill="1" applyBorder="1" applyAlignment="1" applyProtection="1">
      <alignment vertical="center"/>
      <protection locked="0"/>
    </xf>
    <xf numFmtId="43" fontId="20" fillId="2" borderId="6" xfId="0" applyNumberFormat="1" applyFont="1" applyFill="1" applyBorder="1" applyAlignment="1" applyProtection="1">
      <alignment vertical="center"/>
      <protection locked="0"/>
    </xf>
    <xf numFmtId="44" fontId="17" fillId="0" borderId="26" xfId="0" applyNumberFormat="1" applyFont="1" applyBorder="1" applyAlignment="1">
      <alignment horizontal="center" vertical="center" wrapText="1"/>
    </xf>
    <xf numFmtId="44" fontId="14" fillId="0" borderId="24" xfId="0" applyNumberFormat="1" applyFont="1" applyBorder="1" applyAlignment="1">
      <alignment vertical="center"/>
    </xf>
    <xf numFmtId="44" fontId="14" fillId="0" borderId="39" xfId="0" applyNumberFormat="1" applyFont="1" applyBorder="1" applyAlignment="1">
      <alignment horizontal="left" vertical="center"/>
    </xf>
    <xf numFmtId="43" fontId="14" fillId="0" borderId="16" xfId="0" applyNumberFormat="1" applyFont="1" applyBorder="1" applyAlignment="1">
      <alignment vertical="center"/>
    </xf>
    <xf numFmtId="0" fontId="17" fillId="0" borderId="25" xfId="0" applyFont="1" applyBorder="1" applyAlignment="1">
      <alignment horizontal="center" vertical="center" wrapText="1"/>
    </xf>
    <xf numFmtId="0" fontId="17" fillId="0" borderId="38"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79" xfId="0" applyFont="1" applyBorder="1" applyAlignment="1">
      <alignment horizontal="center" vertical="center" wrapText="1"/>
    </xf>
    <xf numFmtId="0" fontId="17" fillId="0" borderId="37" xfId="0" applyFont="1" applyBorder="1" applyAlignment="1">
      <alignment horizontal="center" vertical="center" wrapText="1"/>
    </xf>
    <xf numFmtId="9" fontId="20" fillId="2" borderId="28" xfId="16" applyFont="1" applyFill="1" applyBorder="1" applyAlignment="1" applyProtection="1">
      <alignment vertical="center"/>
      <protection locked="0"/>
    </xf>
    <xf numFmtId="9" fontId="20" fillId="2" borderId="31" xfId="16" applyFont="1" applyFill="1" applyBorder="1" applyAlignment="1" applyProtection="1">
      <alignment vertical="center"/>
      <protection locked="0"/>
    </xf>
    <xf numFmtId="0" fontId="17" fillId="8" borderId="122" xfId="0" applyFont="1" applyFill="1" applyBorder="1" applyAlignment="1" applyProtection="1">
      <alignment horizontal="center" vertical="top" wrapText="1"/>
    </xf>
    <xf numFmtId="0" fontId="29" fillId="2" borderId="123" xfId="0" applyFont="1" applyFill="1" applyBorder="1" applyAlignment="1" applyProtection="1">
      <alignment horizontal="center" vertical="center" wrapText="1"/>
      <protection locked="0"/>
    </xf>
    <xf numFmtId="0" fontId="83" fillId="8" borderId="123" xfId="0" applyFont="1" applyFill="1" applyBorder="1" applyAlignment="1" applyProtection="1">
      <alignment horizontal="center" vertical="top" wrapText="1"/>
    </xf>
    <xf numFmtId="173" fontId="38" fillId="0" borderId="123" xfId="0" applyNumberFormat="1" applyFont="1" applyFill="1" applyBorder="1" applyAlignment="1" applyProtection="1">
      <alignment horizontal="center" vertical="center"/>
    </xf>
    <xf numFmtId="0" fontId="43" fillId="0" borderId="0" xfId="0" applyFont="1" applyFill="1" applyBorder="1" applyAlignment="1" applyProtection="1">
      <alignment horizontal="center" vertical="center"/>
    </xf>
    <xf numFmtId="0" fontId="14" fillId="0" borderId="124" xfId="0" applyFont="1" applyBorder="1" applyAlignment="1">
      <alignment vertical="center"/>
    </xf>
    <xf numFmtId="0" fontId="16" fillId="0" borderId="125" xfId="0" applyFont="1" applyFill="1" applyBorder="1" applyAlignment="1" applyProtection="1">
      <alignment vertical="center"/>
    </xf>
    <xf numFmtId="0" fontId="16" fillId="0" borderId="126" xfId="0" applyFont="1" applyFill="1" applyBorder="1" applyAlignment="1" applyProtection="1">
      <alignment horizontal="right" vertical="center"/>
    </xf>
    <xf numFmtId="0" fontId="14" fillId="0" borderId="127" xfId="0" applyFont="1" applyBorder="1" applyAlignment="1">
      <alignment vertical="center"/>
    </xf>
    <xf numFmtId="0" fontId="16" fillId="0" borderId="128" xfId="0" applyFont="1" applyFill="1" applyBorder="1" applyAlignment="1" applyProtection="1">
      <alignment vertical="center"/>
    </xf>
    <xf numFmtId="0" fontId="16" fillId="0" borderId="129" xfId="0" applyFont="1" applyFill="1" applyBorder="1" applyAlignment="1" applyProtection="1">
      <alignment horizontal="right" vertical="center"/>
    </xf>
    <xf numFmtId="0" fontId="14" fillId="0" borderId="130" xfId="0" applyFont="1" applyBorder="1" applyAlignment="1">
      <alignment vertical="center"/>
    </xf>
    <xf numFmtId="0" fontId="16" fillId="0" borderId="131" xfId="0" applyFont="1" applyFill="1" applyBorder="1" applyAlignment="1" applyProtection="1">
      <alignment vertical="center"/>
    </xf>
    <xf numFmtId="0" fontId="31" fillId="0" borderId="0" xfId="0" applyFont="1" applyFill="1"/>
    <xf numFmtId="0" fontId="91" fillId="0" borderId="0" xfId="0" applyFont="1" applyFill="1"/>
    <xf numFmtId="0" fontId="24" fillId="0" borderId="132" xfId="0" applyFont="1" applyFill="1" applyBorder="1" applyAlignment="1"/>
    <xf numFmtId="0" fontId="24" fillId="0" borderId="133" xfId="0" applyFont="1" applyFill="1" applyBorder="1" applyAlignment="1"/>
    <xf numFmtId="0" fontId="24" fillId="0" borderId="133" xfId="0" applyFont="1" applyFill="1" applyBorder="1" applyAlignment="1" applyProtection="1">
      <alignment wrapText="1"/>
    </xf>
    <xf numFmtId="0" fontId="24" fillId="0" borderId="133" xfId="0" applyFont="1" applyFill="1" applyBorder="1" applyAlignment="1" applyProtection="1"/>
    <xf numFmtId="0" fontId="24" fillId="0" borderId="133" xfId="0" applyFont="1" applyFill="1" applyBorder="1" applyAlignment="1" applyProtection="1">
      <alignment horizontal="center" wrapText="1"/>
    </xf>
    <xf numFmtId="0" fontId="24" fillId="0" borderId="134" xfId="0" applyFont="1" applyFill="1" applyBorder="1" applyAlignment="1">
      <alignment horizontal="center"/>
    </xf>
    <xf numFmtId="0" fontId="52" fillId="0" borderId="135" xfId="0" applyFont="1" applyFill="1" applyBorder="1" applyAlignment="1">
      <alignment vertical="center"/>
    </xf>
    <xf numFmtId="0" fontId="52" fillId="0" borderId="12" xfId="0" applyFont="1" applyBorder="1" applyAlignment="1">
      <alignment horizontal="left"/>
    </xf>
    <xf numFmtId="9" fontId="52" fillId="0" borderId="12" xfId="16" applyFont="1" applyFill="1" applyBorder="1" applyAlignment="1">
      <alignment horizontal="center" vertical="center" wrapText="1"/>
    </xf>
    <xf numFmtId="0" fontId="52" fillId="0" borderId="12" xfId="0" applyFont="1" applyFill="1" applyBorder="1" applyAlignment="1">
      <alignment vertical="center"/>
    </xf>
    <xf numFmtId="9" fontId="52" fillId="0" borderId="12" xfId="16" applyFont="1" applyFill="1" applyBorder="1" applyAlignment="1">
      <alignment vertical="center"/>
    </xf>
    <xf numFmtId="10" fontId="52" fillId="0" borderId="136" xfId="0" applyNumberFormat="1" applyFont="1" applyFill="1" applyBorder="1" applyAlignment="1">
      <alignment vertical="center"/>
    </xf>
    <xf numFmtId="0" fontId="52" fillId="0" borderId="137" xfId="0" applyFont="1" applyFill="1" applyBorder="1" applyAlignment="1">
      <alignment vertical="center"/>
    </xf>
    <xf numFmtId="0" fontId="52" fillId="0" borderId="138" xfId="0" applyFont="1" applyBorder="1" applyAlignment="1">
      <alignment horizontal="left"/>
    </xf>
    <xf numFmtId="0" fontId="52" fillId="0" borderId="0" xfId="0" applyFont="1" applyFill="1" applyBorder="1" applyAlignment="1">
      <alignment vertical="center"/>
    </xf>
    <xf numFmtId="0" fontId="4" fillId="0" borderId="0" xfId="0" applyFont="1" applyBorder="1" applyAlignment="1">
      <alignment horizontal="left"/>
    </xf>
    <xf numFmtId="9" fontId="52" fillId="0" borderId="0" xfId="16" applyFont="1" applyFill="1" applyBorder="1" applyAlignment="1">
      <alignment horizontal="center" vertical="center" wrapText="1"/>
    </xf>
    <xf numFmtId="9" fontId="52" fillId="0" borderId="0" xfId="16" applyFont="1" applyFill="1" applyBorder="1" applyAlignment="1">
      <alignment vertical="center"/>
    </xf>
    <xf numFmtId="10" fontId="52" fillId="0" borderId="0" xfId="0" applyNumberFormat="1" applyFont="1" applyFill="1" applyBorder="1" applyAlignment="1">
      <alignment vertical="center"/>
    </xf>
    <xf numFmtId="0" fontId="29" fillId="0" borderId="139" xfId="0" applyFont="1" applyFill="1" applyBorder="1" applyAlignment="1" applyProtection="1">
      <alignment horizontal="right" vertical="center"/>
    </xf>
    <xf numFmtId="0" fontId="31" fillId="2" borderId="12" xfId="0" applyFont="1" applyFill="1" applyBorder="1" applyAlignment="1" applyProtection="1">
      <alignment horizontal="center" vertical="center"/>
      <protection locked="0"/>
    </xf>
    <xf numFmtId="0" fontId="29" fillId="0" borderId="12" xfId="0" applyFont="1" applyFill="1" applyBorder="1" applyAlignment="1" applyProtection="1">
      <alignment horizontal="center" vertical="center"/>
    </xf>
    <xf numFmtId="1" fontId="92" fillId="2" borderId="12" xfId="0" applyNumberFormat="1" applyFont="1" applyFill="1" applyBorder="1" applyAlignment="1" applyProtection="1">
      <alignment horizontal="center" vertical="center"/>
      <protection locked="0"/>
    </xf>
    <xf numFmtId="0" fontId="31" fillId="0" borderId="12" xfId="0" applyFont="1" applyBorder="1" applyAlignment="1">
      <alignment horizontal="right" vertical="center"/>
    </xf>
    <xf numFmtId="44" fontId="31" fillId="2" borderId="26" xfId="0" applyNumberFormat="1" applyFont="1" applyFill="1" applyBorder="1" applyAlignment="1" applyProtection="1">
      <alignment vertical="center"/>
      <protection locked="0"/>
    </xf>
    <xf numFmtId="0" fontId="95" fillId="0" borderId="139" xfId="0" applyFont="1" applyFill="1" applyBorder="1" applyAlignment="1" applyProtection="1">
      <alignment horizontal="right" vertical="center"/>
    </xf>
    <xf numFmtId="9" fontId="31" fillId="2" borderId="12" xfId="0" applyNumberFormat="1" applyFont="1" applyFill="1" applyBorder="1" applyAlignment="1" applyProtection="1">
      <alignment horizontal="center" vertical="center"/>
      <protection locked="0"/>
    </xf>
    <xf numFmtId="169" fontId="4" fillId="0" borderId="0" xfId="16" applyNumberFormat="1" applyFont="1" applyFill="1" applyBorder="1" applyAlignment="1" applyProtection="1">
      <alignment vertical="center"/>
    </xf>
    <xf numFmtId="44" fontId="4" fillId="0" borderId="5" xfId="0" applyNumberFormat="1" applyFont="1" applyFill="1" applyBorder="1" applyAlignment="1" applyProtection="1">
      <alignment vertical="center"/>
    </xf>
    <xf numFmtId="44" fontId="5" fillId="0" borderId="5" xfId="0" applyNumberFormat="1" applyFont="1" applyFill="1" applyBorder="1" applyAlignment="1" applyProtection="1">
      <alignment vertical="center"/>
    </xf>
    <xf numFmtId="44" fontId="5" fillId="0" borderId="140" xfId="0" applyNumberFormat="1" applyFont="1" applyFill="1" applyBorder="1" applyAlignment="1" applyProtection="1">
      <alignment vertical="center"/>
    </xf>
    <xf numFmtId="44" fontId="4" fillId="0" borderId="74" xfId="0" applyNumberFormat="1" applyFont="1" applyBorder="1" applyAlignment="1" applyProtection="1">
      <alignment vertical="center"/>
    </xf>
    <xf numFmtId="44" fontId="6" fillId="0" borderId="22" xfId="0" applyNumberFormat="1" applyFont="1" applyFill="1" applyBorder="1" applyAlignment="1" applyProtection="1">
      <alignment vertical="center"/>
    </xf>
    <xf numFmtId="44" fontId="14" fillId="0" borderId="140" xfId="0" applyNumberFormat="1" applyFont="1" applyBorder="1" applyAlignment="1" applyProtection="1">
      <alignment vertical="center"/>
    </xf>
    <xf numFmtId="44" fontId="6" fillId="0" borderId="140" xfId="0" applyNumberFormat="1" applyFont="1" applyFill="1" applyBorder="1" applyAlignment="1" applyProtection="1">
      <alignment vertical="center"/>
    </xf>
    <xf numFmtId="44" fontId="6" fillId="0" borderId="98" xfId="0" applyNumberFormat="1" applyFont="1" applyFill="1" applyBorder="1" applyAlignment="1" applyProtection="1">
      <alignment vertical="center"/>
    </xf>
    <xf numFmtId="44" fontId="17" fillId="0" borderId="80" xfId="0" applyNumberFormat="1" applyFont="1" applyBorder="1" applyAlignment="1" applyProtection="1">
      <alignment vertical="center"/>
    </xf>
    <xf numFmtId="44" fontId="17" fillId="0" borderId="117" xfId="0" applyNumberFormat="1" applyFont="1" applyBorder="1" applyAlignment="1" applyProtection="1">
      <alignment vertical="center"/>
    </xf>
    <xf numFmtId="44" fontId="16" fillId="0" borderId="106" xfId="0" applyNumberFormat="1" applyFont="1" applyFill="1" applyBorder="1" applyAlignment="1" applyProtection="1">
      <alignment vertical="center"/>
    </xf>
    <xf numFmtId="44" fontId="17" fillId="0" borderId="98" xfId="0" applyNumberFormat="1" applyFont="1" applyFill="1" applyBorder="1" applyAlignment="1" applyProtection="1">
      <alignment vertical="center"/>
    </xf>
    <xf numFmtId="44" fontId="17" fillId="0" borderId="5" xfId="0" applyNumberFormat="1" applyFont="1" applyFill="1" applyBorder="1" applyAlignment="1" applyProtection="1">
      <alignment vertical="center"/>
    </xf>
    <xf numFmtId="44" fontId="14" fillId="0" borderId="5" xfId="0" applyNumberFormat="1" applyFont="1" applyBorder="1" applyAlignment="1" applyProtection="1">
      <alignment vertical="center"/>
    </xf>
    <xf numFmtId="44" fontId="16" fillId="0" borderId="5" xfId="0" applyNumberFormat="1" applyFont="1" applyBorder="1" applyAlignment="1" applyProtection="1">
      <alignment vertical="center"/>
    </xf>
    <xf numFmtId="44" fontId="16" fillId="0" borderId="74" xfId="0" applyNumberFormat="1" applyFont="1" applyBorder="1" applyAlignment="1" applyProtection="1">
      <alignment vertical="center"/>
    </xf>
    <xf numFmtId="44" fontId="16" fillId="0" borderId="141" xfId="0" applyNumberFormat="1" applyFont="1" applyBorder="1" applyAlignment="1" applyProtection="1">
      <alignment vertical="center"/>
    </xf>
    <xf numFmtId="44" fontId="16" fillId="0" borderId="140" xfId="0" applyNumberFormat="1" applyFont="1" applyBorder="1" applyAlignment="1" applyProtection="1">
      <alignment vertical="center"/>
    </xf>
    <xf numFmtId="44" fontId="32" fillId="0" borderId="22" xfId="0" applyNumberFormat="1" applyFont="1" applyFill="1" applyBorder="1" applyAlignment="1" applyProtection="1">
      <alignment vertical="center"/>
    </xf>
    <xf numFmtId="44" fontId="17" fillId="0" borderId="141" xfId="0" applyNumberFormat="1" applyFont="1" applyBorder="1" applyAlignment="1" applyProtection="1">
      <alignment vertical="center"/>
    </xf>
    <xf numFmtId="44" fontId="17" fillId="0" borderId="98" xfId="0" applyNumberFormat="1" applyFont="1" applyBorder="1" applyAlignment="1" applyProtection="1">
      <alignment vertical="center"/>
    </xf>
    <xf numFmtId="44" fontId="17" fillId="0" borderId="5" xfId="0" applyNumberFormat="1" applyFont="1" applyBorder="1" applyAlignment="1" applyProtection="1">
      <alignment vertical="center"/>
    </xf>
    <xf numFmtId="44" fontId="30" fillId="0" borderId="69" xfId="0" applyNumberFormat="1" applyFont="1" applyFill="1" applyBorder="1" applyAlignment="1" applyProtection="1">
      <alignment vertical="center"/>
    </xf>
    <xf numFmtId="44" fontId="23" fillId="0" borderId="24" xfId="0" applyNumberFormat="1" applyFont="1" applyFill="1" applyBorder="1" applyAlignment="1" applyProtection="1">
      <alignment vertical="center"/>
    </xf>
    <xf numFmtId="44" fontId="4" fillId="0" borderId="5" xfId="0" applyNumberFormat="1" applyFont="1" applyBorder="1" applyAlignment="1" applyProtection="1">
      <alignment vertical="center"/>
    </xf>
    <xf numFmtId="44" fontId="4" fillId="0" borderId="140" xfId="0" applyNumberFormat="1" applyFont="1" applyBorder="1" applyAlignment="1" applyProtection="1">
      <alignment vertical="center"/>
    </xf>
    <xf numFmtId="44" fontId="17" fillId="0" borderId="22" xfId="0" applyNumberFormat="1" applyFont="1" applyBorder="1" applyAlignment="1" applyProtection="1">
      <alignment vertical="center"/>
    </xf>
    <xf numFmtId="44" fontId="32" fillId="0" borderId="55" xfId="0" applyNumberFormat="1" applyFont="1" applyFill="1" applyBorder="1" applyAlignment="1" applyProtection="1">
      <alignment vertical="center"/>
    </xf>
    <xf numFmtId="44" fontId="32" fillId="0" borderId="5" xfId="0" applyNumberFormat="1" applyFont="1" applyFill="1" applyBorder="1" applyAlignment="1" applyProtection="1">
      <alignment vertical="center"/>
    </xf>
    <xf numFmtId="44" fontId="5" fillId="0" borderId="20" xfId="0" applyNumberFormat="1" applyFont="1" applyFill="1" applyBorder="1" applyAlignment="1" applyProtection="1">
      <alignment vertical="center"/>
    </xf>
    <xf numFmtId="44" fontId="4" fillId="0" borderId="74" xfId="0" applyNumberFormat="1" applyFont="1" applyFill="1" applyBorder="1" applyAlignment="1" applyProtection="1">
      <alignment vertical="center"/>
    </xf>
    <xf numFmtId="44" fontId="32" fillId="0" borderId="141" xfId="0" applyNumberFormat="1" applyFont="1" applyFill="1" applyBorder="1" applyAlignment="1" applyProtection="1">
      <alignment vertical="center"/>
    </xf>
    <xf numFmtId="44" fontId="7" fillId="0" borderId="80" xfId="0" applyNumberFormat="1" applyFont="1" applyBorder="1" applyAlignment="1" applyProtection="1">
      <alignment vertical="center"/>
    </xf>
    <xf numFmtId="44" fontId="7" fillId="0" borderId="117" xfId="0" applyNumberFormat="1" applyFont="1" applyBorder="1" applyAlignment="1" applyProtection="1">
      <alignment vertical="center"/>
    </xf>
    <xf numFmtId="44" fontId="4" fillId="0" borderId="22" xfId="0" applyNumberFormat="1" applyFont="1" applyFill="1" applyBorder="1" applyAlignment="1" applyProtection="1">
      <alignment vertical="center"/>
    </xf>
    <xf numFmtId="44" fontId="17" fillId="0" borderId="141" xfId="0" applyNumberFormat="1" applyFont="1" applyFill="1" applyBorder="1" applyAlignment="1" applyProtection="1">
      <alignment vertical="center"/>
    </xf>
    <xf numFmtId="44" fontId="5" fillId="0" borderId="74" xfId="0" applyNumberFormat="1" applyFont="1" applyFill="1" applyBorder="1" applyAlignment="1" applyProtection="1">
      <alignment vertical="center"/>
    </xf>
    <xf numFmtId="44" fontId="52" fillId="0" borderId="140" xfId="0" applyNumberFormat="1" applyFont="1" applyFill="1" applyBorder="1" applyAlignment="1" applyProtection="1">
      <alignment vertical="center"/>
    </xf>
    <xf numFmtId="44" fontId="30" fillId="0" borderId="22" xfId="0" applyNumberFormat="1" applyFont="1" applyFill="1" applyBorder="1" applyAlignment="1" applyProtection="1">
      <alignment vertical="center"/>
    </xf>
    <xf numFmtId="44" fontId="5" fillId="0" borderId="141" xfId="0" applyNumberFormat="1" applyFont="1" applyFill="1" applyBorder="1" applyAlignment="1" applyProtection="1">
      <alignment vertical="center"/>
    </xf>
    <xf numFmtId="9" fontId="67" fillId="0" borderId="68" xfId="0" applyNumberFormat="1" applyFont="1" applyFill="1" applyBorder="1" applyAlignment="1" applyProtection="1">
      <alignment horizontal="center" vertical="center"/>
    </xf>
    <xf numFmtId="44" fontId="31" fillId="0" borderId="69" xfId="0" applyNumberFormat="1" applyFont="1" applyFill="1" applyBorder="1" applyAlignment="1" applyProtection="1">
      <alignment vertical="center"/>
    </xf>
    <xf numFmtId="44" fontId="16" fillId="2" borderId="142" xfId="0" applyNumberFormat="1" applyFont="1" applyFill="1" applyBorder="1" applyAlignment="1" applyProtection="1">
      <alignment horizontal="right" vertical="center"/>
    </xf>
    <xf numFmtId="44" fontId="16" fillId="2" borderId="143" xfId="0" applyNumberFormat="1" applyFont="1" applyFill="1" applyBorder="1" applyAlignment="1" applyProtection="1">
      <alignment horizontal="right" vertical="center"/>
    </xf>
    <xf numFmtId="44" fontId="16" fillId="2" borderId="3" xfId="0" applyNumberFormat="1" applyFont="1" applyFill="1" applyBorder="1" applyAlignment="1" applyProtection="1">
      <alignment horizontal="right" vertical="center"/>
    </xf>
    <xf numFmtId="44" fontId="16" fillId="6" borderId="144" xfId="0" applyNumberFormat="1" applyFont="1" applyFill="1" applyBorder="1" applyAlignment="1" applyProtection="1">
      <alignment horizontal="right" vertical="center"/>
    </xf>
    <xf numFmtId="44" fontId="16" fillId="2" borderId="144" xfId="0" applyNumberFormat="1" applyFont="1" applyFill="1" applyBorder="1" applyAlignment="1" applyProtection="1">
      <alignment horizontal="right" vertical="center"/>
    </xf>
    <xf numFmtId="0" fontId="29" fillId="2" borderId="15" xfId="0" applyFont="1" applyFill="1" applyBorder="1" applyAlignment="1" applyProtection="1">
      <alignment horizontal="center" vertical="center" wrapText="1"/>
    </xf>
    <xf numFmtId="44" fontId="16" fillId="2" borderId="6" xfId="0" applyNumberFormat="1" applyFont="1" applyFill="1" applyBorder="1" applyAlignment="1" applyProtection="1">
      <alignment horizontal="right" vertical="center"/>
    </xf>
    <xf numFmtId="44" fontId="16" fillId="2" borderId="80" xfId="0" applyNumberFormat="1" applyFont="1" applyFill="1" applyBorder="1" applyAlignment="1" applyProtection="1">
      <alignment horizontal="right" vertical="center"/>
    </xf>
    <xf numFmtId="44" fontId="16" fillId="2" borderId="12" xfId="0" applyNumberFormat="1" applyFont="1" applyFill="1" applyBorder="1" applyAlignment="1" applyProtection="1">
      <alignment horizontal="right" vertical="center"/>
    </xf>
    <xf numFmtId="44" fontId="16" fillId="2" borderId="26" xfId="0" applyNumberFormat="1" applyFont="1" applyFill="1" applyBorder="1" applyAlignment="1" applyProtection="1">
      <alignment horizontal="right" vertical="center"/>
    </xf>
    <xf numFmtId="44" fontId="16" fillId="2" borderId="138" xfId="0" applyNumberFormat="1" applyFont="1" applyFill="1" applyBorder="1" applyAlignment="1" applyProtection="1">
      <alignment horizontal="right" vertical="center"/>
    </xf>
    <xf numFmtId="44" fontId="16" fillId="2" borderId="120" xfId="0" applyNumberFormat="1" applyFont="1" applyFill="1" applyBorder="1" applyAlignment="1" applyProtection="1">
      <alignment horizontal="right" vertical="center"/>
    </xf>
    <xf numFmtId="44" fontId="16" fillId="6" borderId="145" xfId="0" applyNumberFormat="1" applyFont="1" applyFill="1" applyBorder="1" applyAlignment="1" applyProtection="1">
      <alignment horizontal="right" vertical="center"/>
    </xf>
    <xf numFmtId="44" fontId="16" fillId="6" borderId="115" xfId="0" applyNumberFormat="1" applyFont="1" applyFill="1" applyBorder="1" applyAlignment="1" applyProtection="1">
      <alignment horizontal="right" vertical="center"/>
    </xf>
    <xf numFmtId="173" fontId="38" fillId="0" borderId="77" xfId="0" applyNumberFormat="1" applyFont="1" applyFill="1" applyBorder="1" applyAlignment="1" applyProtection="1">
      <alignment horizontal="center" vertical="center"/>
    </xf>
    <xf numFmtId="173" fontId="38" fillId="0" borderId="99" xfId="0" applyNumberFormat="1" applyFont="1" applyFill="1" applyBorder="1" applyAlignment="1" applyProtection="1">
      <alignment horizontal="center" vertical="center"/>
    </xf>
    <xf numFmtId="44" fontId="16" fillId="2" borderId="123" xfId="0" applyNumberFormat="1" applyFont="1" applyFill="1" applyBorder="1" applyAlignment="1" applyProtection="1">
      <alignment horizontal="right" vertical="center"/>
    </xf>
    <xf numFmtId="44" fontId="16" fillId="2" borderId="6" xfId="0" applyNumberFormat="1" applyFont="1" applyFill="1" applyBorder="1" applyAlignment="1" applyProtection="1">
      <alignment horizontal="right" vertical="center"/>
      <protection locked="0"/>
    </xf>
    <xf numFmtId="44" fontId="16" fillId="2" borderId="12" xfId="0" applyNumberFormat="1" applyFont="1" applyFill="1" applyBorder="1" applyAlignment="1" applyProtection="1">
      <alignment horizontal="right" vertical="center"/>
      <protection locked="0"/>
    </xf>
    <xf numFmtId="44" fontId="16" fillId="2" borderId="120" xfId="0" applyNumberFormat="1" applyFont="1" applyFill="1" applyBorder="1" applyAlignment="1" applyProtection="1">
      <alignment horizontal="right" vertical="center"/>
      <protection locked="0"/>
    </xf>
    <xf numFmtId="44" fontId="16" fillId="2" borderId="113" xfId="0" applyNumberFormat="1" applyFont="1" applyFill="1" applyBorder="1" applyAlignment="1" applyProtection="1">
      <alignment horizontal="right" vertical="center"/>
      <protection locked="0"/>
    </xf>
    <xf numFmtId="44" fontId="16" fillId="6" borderId="121" xfId="0" applyNumberFormat="1" applyFont="1" applyFill="1" applyBorder="1" applyAlignment="1" applyProtection="1">
      <alignment horizontal="right" vertical="center"/>
    </xf>
    <xf numFmtId="44" fontId="16" fillId="2" borderId="121" xfId="0" applyNumberFormat="1" applyFont="1" applyFill="1" applyBorder="1" applyAlignment="1" applyProtection="1">
      <alignment horizontal="right" vertical="center"/>
      <protection locked="0"/>
    </xf>
    <xf numFmtId="0" fontId="4" fillId="0" borderId="12" xfId="0" applyFont="1" applyBorder="1" applyAlignment="1">
      <alignment horizontal="left"/>
    </xf>
    <xf numFmtId="0" fontId="4" fillId="0" borderId="12" xfId="0" applyFont="1" applyBorder="1" applyAlignment="1">
      <alignment horizontal="center"/>
    </xf>
    <xf numFmtId="0" fontId="4" fillId="0" borderId="12" xfId="0" applyFont="1" applyBorder="1"/>
    <xf numFmtId="0" fontId="52" fillId="0" borderId="12" xfId="0" applyFont="1" applyBorder="1" applyAlignment="1">
      <alignment horizontal="center"/>
    </xf>
    <xf numFmtId="9" fontId="52" fillId="0" borderId="138" xfId="16" applyFont="1" applyFill="1" applyBorder="1" applyAlignment="1">
      <alignment horizontal="center" vertical="center" wrapText="1"/>
    </xf>
    <xf numFmtId="0" fontId="52" fillId="0" borderId="138" xfId="0" applyFont="1" applyFill="1" applyBorder="1" applyAlignment="1">
      <alignment vertical="center"/>
    </xf>
    <xf numFmtId="9" fontId="52" fillId="0" borderId="138" xfId="16" applyFont="1" applyFill="1" applyBorder="1" applyAlignment="1">
      <alignment vertical="center"/>
    </xf>
    <xf numFmtId="10" fontId="52" fillId="0" borderId="146" xfId="0" applyNumberFormat="1" applyFont="1" applyFill="1" applyBorder="1" applyAlignment="1">
      <alignment vertical="center"/>
    </xf>
    <xf numFmtId="167" fontId="29" fillId="0" borderId="1" xfId="0" applyNumberFormat="1" applyFont="1" applyFill="1" applyBorder="1" applyAlignment="1" applyProtection="1">
      <alignment horizontal="right" vertical="center"/>
    </xf>
    <xf numFmtId="0" fontId="29" fillId="0" borderId="1" xfId="0" applyFont="1" applyBorder="1" applyAlignment="1" applyProtection="1">
      <alignment horizontal="right" vertical="center"/>
    </xf>
    <xf numFmtId="167" fontId="29" fillId="0" borderId="4" xfId="0" applyNumberFormat="1" applyFont="1" applyFill="1" applyBorder="1" applyAlignment="1" applyProtection="1">
      <alignment horizontal="right" vertical="center"/>
    </xf>
    <xf numFmtId="0" fontId="29" fillId="0" borderId="4" xfId="0" applyFont="1" applyBorder="1" applyAlignment="1" applyProtection="1">
      <alignment horizontal="right" vertical="center"/>
    </xf>
    <xf numFmtId="0" fontId="43" fillId="0" borderId="139" xfId="0" applyFont="1" applyFill="1" applyBorder="1" applyAlignment="1" applyProtection="1">
      <alignment horizontal="center" vertical="center"/>
    </xf>
    <xf numFmtId="0" fontId="96" fillId="0" borderId="79" xfId="0" applyFont="1" applyBorder="1" applyAlignment="1" applyProtection="1">
      <alignment vertical="center"/>
      <protection locked="0"/>
    </xf>
    <xf numFmtId="0" fontId="97" fillId="0" borderId="37" xfId="0" applyFont="1" applyFill="1" applyBorder="1" applyAlignment="1" applyProtection="1">
      <alignment horizontal="center" vertical="center"/>
    </xf>
    <xf numFmtId="0" fontId="98" fillId="0" borderId="37" xfId="0" applyFont="1" applyBorder="1" applyAlignment="1">
      <alignment vertical="center"/>
    </xf>
    <xf numFmtId="0" fontId="4" fillId="0" borderId="39" xfId="0" applyFont="1" applyBorder="1" applyAlignment="1">
      <alignment vertical="center"/>
    </xf>
    <xf numFmtId="0" fontId="99" fillId="0" borderId="0" xfId="0" applyFont="1"/>
    <xf numFmtId="1" fontId="83" fillId="0" borderId="43" xfId="0" applyNumberFormat="1" applyFont="1" applyFill="1" applyBorder="1" applyAlignment="1" applyProtection="1">
      <alignment horizontal="center" vertical="center"/>
    </xf>
    <xf numFmtId="0" fontId="4" fillId="0" borderId="0" xfId="0" applyFont="1" applyAlignment="1">
      <alignment horizontal="center" vertical="center" wrapText="1"/>
    </xf>
    <xf numFmtId="0" fontId="52" fillId="0" borderId="0" xfId="0" applyFont="1" applyAlignment="1">
      <alignment vertical="center" wrapText="1"/>
    </xf>
    <xf numFmtId="0" fontId="100" fillId="0" borderId="0" xfId="0" applyFont="1"/>
    <xf numFmtId="177" fontId="4" fillId="0" borderId="132" xfId="0" applyNumberFormat="1" applyFont="1" applyFill="1" applyBorder="1" applyAlignment="1">
      <alignment horizontal="right"/>
    </xf>
    <xf numFmtId="6" fontId="4" fillId="0" borderId="133" xfId="0" applyNumberFormat="1" applyFont="1" applyFill="1" applyBorder="1" applyAlignment="1">
      <alignment horizontal="right"/>
    </xf>
    <xf numFmtId="173" fontId="4" fillId="0" borderId="133" xfId="0" applyNumberFormat="1" applyFont="1" applyBorder="1" applyAlignment="1">
      <alignment horizontal="right"/>
    </xf>
    <xf numFmtId="10" fontId="4" fillId="0" borderId="134" xfId="0" applyNumberFormat="1" applyFont="1" applyBorder="1" applyAlignment="1">
      <alignment horizontal="center"/>
    </xf>
    <xf numFmtId="173" fontId="4" fillId="0" borderId="135" xfId="0" applyNumberFormat="1" applyFont="1" applyBorder="1" applyAlignment="1">
      <alignment horizontal="right"/>
    </xf>
    <xf numFmtId="173" fontId="4" fillId="0" borderId="12" xfId="0" applyNumberFormat="1" applyFont="1" applyBorder="1" applyAlignment="1">
      <alignment horizontal="right"/>
    </xf>
    <xf numFmtId="10" fontId="4" fillId="0" borderId="136" xfId="16" applyNumberFormat="1" applyFont="1" applyBorder="1" applyAlignment="1">
      <alignment horizontal="center"/>
    </xf>
    <xf numFmtId="173" fontId="4" fillId="0" borderId="137" xfId="0" applyNumberFormat="1" applyFont="1" applyBorder="1" applyAlignment="1">
      <alignment horizontal="right"/>
    </xf>
    <xf numFmtId="173" fontId="4" fillId="0" borderId="138" xfId="0" applyNumberFormat="1" applyFont="1" applyBorder="1" applyAlignment="1">
      <alignment horizontal="right"/>
    </xf>
    <xf numFmtId="10" fontId="4" fillId="0" borderId="146" xfId="16" applyNumberFormat="1" applyFont="1" applyBorder="1" applyAlignment="1">
      <alignment horizontal="center"/>
    </xf>
    <xf numFmtId="173" fontId="4" fillId="0" borderId="133" xfId="0" applyNumberFormat="1" applyFont="1" applyBorder="1"/>
    <xf numFmtId="44" fontId="16" fillId="2" borderId="145" xfId="0" applyNumberFormat="1" applyFont="1" applyFill="1" applyBorder="1" applyAlignment="1" applyProtection="1">
      <alignment horizontal="right" vertical="center"/>
      <protection locked="0"/>
    </xf>
    <xf numFmtId="44" fontId="16" fillId="2" borderId="115" xfId="0" applyNumberFormat="1" applyFont="1" applyFill="1" applyBorder="1" applyAlignment="1" applyProtection="1">
      <alignment horizontal="right" vertical="center"/>
      <protection locked="0"/>
    </xf>
    <xf numFmtId="44" fontId="16" fillId="0" borderId="140" xfId="0" applyNumberFormat="1" applyFont="1" applyFill="1" applyBorder="1" applyAlignment="1" applyProtection="1">
      <alignment horizontal="right" vertical="center"/>
    </xf>
    <xf numFmtId="0" fontId="17" fillId="8" borderId="147" xfId="0" applyFont="1" applyFill="1" applyBorder="1" applyAlignment="1" applyProtection="1">
      <alignment horizontal="center" vertical="center" wrapText="1"/>
    </xf>
    <xf numFmtId="0" fontId="73" fillId="0" borderId="0" xfId="0" applyFont="1" applyBorder="1" applyAlignment="1" applyProtection="1">
      <alignment horizontal="left" vertical="center"/>
    </xf>
    <xf numFmtId="0" fontId="14" fillId="0" borderId="0" xfId="0" applyFont="1" applyBorder="1" applyAlignment="1">
      <alignment horizontal="left" vertical="center"/>
    </xf>
    <xf numFmtId="178" fontId="34" fillId="0" borderId="0" xfId="0" applyNumberFormat="1" applyFont="1" applyBorder="1" applyAlignment="1">
      <alignment horizontal="left" vertical="center"/>
    </xf>
    <xf numFmtId="0" fontId="20" fillId="2" borderId="173" xfId="0" applyFont="1" applyFill="1" applyBorder="1" applyAlignment="1" applyProtection="1">
      <alignment vertical="center"/>
      <protection locked="0"/>
    </xf>
    <xf numFmtId="0" fontId="20" fillId="2" borderId="52" xfId="0" applyFont="1" applyFill="1" applyBorder="1" applyAlignment="1" applyProtection="1">
      <alignment vertical="center"/>
      <protection locked="0"/>
    </xf>
    <xf numFmtId="0" fontId="20" fillId="2" borderId="174" xfId="0" applyFont="1" applyFill="1" applyBorder="1" applyAlignment="1" applyProtection="1">
      <alignment vertical="center"/>
      <protection locked="0"/>
    </xf>
    <xf numFmtId="0" fontId="20" fillId="2" borderId="175" xfId="0" applyFont="1" applyFill="1" applyBorder="1" applyAlignment="1" applyProtection="1">
      <alignment vertical="center"/>
      <protection locked="0"/>
    </xf>
    <xf numFmtId="0" fontId="20" fillId="2" borderId="176" xfId="0" applyFont="1" applyFill="1" applyBorder="1" applyAlignment="1" applyProtection="1">
      <alignment vertical="center"/>
      <protection locked="0"/>
    </xf>
    <xf numFmtId="0" fontId="15" fillId="0" borderId="2" xfId="0" applyFont="1" applyBorder="1" applyAlignment="1">
      <alignment horizontal="right" vertical="center"/>
    </xf>
    <xf numFmtId="0" fontId="15" fillId="0" borderId="0" xfId="0" applyFont="1" applyBorder="1" applyAlignment="1">
      <alignment horizontal="right" vertical="center"/>
    </xf>
    <xf numFmtId="0" fontId="14" fillId="0" borderId="18" xfId="0" applyFont="1" applyBorder="1"/>
    <xf numFmtId="0" fontId="1" fillId="0" borderId="13" xfId="0" applyFont="1" applyBorder="1"/>
    <xf numFmtId="0" fontId="1" fillId="0" borderId="20" xfId="0" applyFont="1" applyBorder="1"/>
    <xf numFmtId="0" fontId="14" fillId="0" borderId="2" xfId="0" applyFont="1" applyBorder="1"/>
    <xf numFmtId="0" fontId="1" fillId="0" borderId="0" xfId="0" applyFont="1" applyBorder="1"/>
    <xf numFmtId="0" fontId="15" fillId="0" borderId="0" xfId="0" applyFont="1" applyBorder="1"/>
    <xf numFmtId="0" fontId="1" fillId="0" borderId="5" xfId="0" applyFont="1" applyFill="1" applyBorder="1"/>
    <xf numFmtId="0" fontId="1" fillId="0" borderId="5" xfId="0" applyFont="1" applyBorder="1"/>
    <xf numFmtId="0" fontId="7" fillId="0" borderId="0" xfId="0" applyFont="1" applyBorder="1" applyAlignment="1">
      <alignment horizontal="right"/>
    </xf>
    <xf numFmtId="0" fontId="1" fillId="0" borderId="0" xfId="0" applyFont="1" applyBorder="1" applyAlignment="1">
      <alignment horizontal="right"/>
    </xf>
    <xf numFmtId="181" fontId="1" fillId="0" borderId="177" xfId="0" quotePrefix="1" applyNumberFormat="1" applyFont="1" applyBorder="1" applyAlignment="1">
      <alignment horizontal="center"/>
    </xf>
    <xf numFmtId="0" fontId="1" fillId="0" borderId="178" xfId="0" applyFont="1" applyBorder="1"/>
    <xf numFmtId="0" fontId="7" fillId="0" borderId="0" xfId="0" applyFont="1" applyBorder="1"/>
    <xf numFmtId="0" fontId="1" fillId="0" borderId="125" xfId="0" applyFont="1" applyBorder="1" applyAlignment="1">
      <alignment vertical="center"/>
    </xf>
    <xf numFmtId="0" fontId="1" fillId="0" borderId="7" xfId="0" applyFont="1" applyBorder="1"/>
    <xf numFmtId="0" fontId="1" fillId="0" borderId="179" xfId="0" applyFont="1" applyBorder="1"/>
    <xf numFmtId="0" fontId="7" fillId="0" borderId="7" xfId="0" applyFont="1" applyBorder="1"/>
    <xf numFmtId="0" fontId="1" fillId="0" borderId="131" xfId="0" applyFont="1" applyBorder="1"/>
    <xf numFmtId="49" fontId="1" fillId="0" borderId="0" xfId="0" applyNumberFormat="1" applyFont="1" applyBorder="1"/>
    <xf numFmtId="0" fontId="7" fillId="0" borderId="125" xfId="0" applyFont="1" applyFill="1" applyBorder="1"/>
    <xf numFmtId="0" fontId="1" fillId="0" borderId="125" xfId="0" applyFont="1" applyFill="1" applyBorder="1"/>
    <xf numFmtId="0" fontId="1" fillId="0" borderId="125" xfId="0" applyFont="1" applyBorder="1"/>
    <xf numFmtId="0" fontId="1" fillId="0" borderId="177" xfId="0" applyFont="1" applyBorder="1"/>
    <xf numFmtId="0" fontId="7" fillId="0" borderId="0" xfId="0" applyFont="1" applyBorder="1" applyAlignment="1">
      <alignment horizontal="center"/>
    </xf>
    <xf numFmtId="0" fontId="1" fillId="0" borderId="74" xfId="0" applyFont="1" applyBorder="1"/>
    <xf numFmtId="0" fontId="15" fillId="0" borderId="2" xfId="0" quotePrefix="1" applyFont="1" applyBorder="1" applyAlignment="1">
      <alignment horizontal="center"/>
    </xf>
    <xf numFmtId="0" fontId="7" fillId="0" borderId="114" xfId="0" applyFont="1" applyBorder="1" applyAlignment="1">
      <alignment horizontal="center"/>
    </xf>
    <xf numFmtId="0" fontId="1" fillId="0" borderId="0" xfId="0" applyFont="1" applyFill="1" applyBorder="1"/>
    <xf numFmtId="0" fontId="1" fillId="0" borderId="53" xfId="0" applyFont="1" applyBorder="1"/>
    <xf numFmtId="170" fontId="1" fillId="0" borderId="180" xfId="0" applyNumberFormat="1" applyFont="1" applyBorder="1"/>
    <xf numFmtId="0" fontId="1" fillId="0" borderId="10" xfId="0" applyFont="1" applyBorder="1"/>
    <xf numFmtId="44" fontId="1" fillId="0" borderId="114" xfId="0" applyNumberFormat="1" applyFont="1" applyBorder="1"/>
    <xf numFmtId="0" fontId="1" fillId="0" borderId="114" xfId="0" applyFont="1" applyBorder="1"/>
    <xf numFmtId="0" fontId="7" fillId="0" borderId="41" xfId="0" applyFont="1" applyBorder="1" applyAlignment="1">
      <alignment horizontal="center"/>
    </xf>
    <xf numFmtId="0" fontId="1" fillId="0" borderId="41" xfId="0" applyFont="1" applyBorder="1"/>
    <xf numFmtId="0" fontId="1" fillId="0" borderId="0" xfId="0" applyFont="1"/>
    <xf numFmtId="44" fontId="1" fillId="0" borderId="181" xfId="0" applyNumberFormat="1" applyFont="1" applyBorder="1"/>
    <xf numFmtId="170" fontId="1" fillId="0" borderId="114" xfId="0" applyNumberFormat="1" applyFont="1" applyBorder="1"/>
    <xf numFmtId="0" fontId="7" fillId="0" borderId="2" xfId="0" applyFont="1" applyBorder="1" applyAlignment="1">
      <alignment horizontal="right"/>
    </xf>
    <xf numFmtId="0" fontId="1" fillId="0" borderId="42" xfId="0" applyFont="1" applyBorder="1"/>
    <xf numFmtId="0" fontId="7" fillId="0" borderId="0" xfId="0" applyFont="1" applyFill="1" applyBorder="1"/>
    <xf numFmtId="0" fontId="14" fillId="0" borderId="41" xfId="0" applyFont="1" applyBorder="1"/>
    <xf numFmtId="0" fontId="1" fillId="0" borderId="43" xfId="0" applyFont="1" applyBorder="1"/>
    <xf numFmtId="0" fontId="1" fillId="0" borderId="43" xfId="0" applyFont="1" applyFill="1" applyBorder="1"/>
    <xf numFmtId="170" fontId="1" fillId="0" borderId="0" xfId="0" applyNumberFormat="1" applyFont="1" applyBorder="1"/>
    <xf numFmtId="9" fontId="7" fillId="0" borderId="0" xfId="0" applyNumberFormat="1" applyFont="1" applyBorder="1" applyAlignment="1">
      <alignment horizontal="right"/>
    </xf>
    <xf numFmtId="0" fontId="14" fillId="0" borderId="0" xfId="0" applyFont="1" applyBorder="1" applyAlignment="1"/>
    <xf numFmtId="170" fontId="1" fillId="0" borderId="187" xfId="0" applyNumberFormat="1" applyFont="1" applyBorder="1"/>
    <xf numFmtId="0" fontId="1" fillId="0" borderId="0" xfId="0" applyFont="1" applyFill="1" applyBorder="1" applyAlignment="1"/>
    <xf numFmtId="0" fontId="1" fillId="0" borderId="16" xfId="0" applyFont="1" applyFill="1" applyBorder="1"/>
    <xf numFmtId="0" fontId="1" fillId="0" borderId="17" xfId="0" applyFont="1" applyBorder="1"/>
    <xf numFmtId="0" fontId="1" fillId="0" borderId="16" xfId="0" applyFont="1" applyBorder="1"/>
    <xf numFmtId="0" fontId="7" fillId="0" borderId="42" xfId="0" applyFont="1" applyBorder="1"/>
    <xf numFmtId="170" fontId="7" fillId="0" borderId="180" xfId="0" applyNumberFormat="1" applyFont="1" applyBorder="1"/>
    <xf numFmtId="9" fontId="1" fillId="0" borderId="0" xfId="0" applyNumberFormat="1" applyFont="1" applyBorder="1" applyAlignment="1">
      <alignment horizontal="center"/>
    </xf>
    <xf numFmtId="170" fontId="1" fillId="0" borderId="0" xfId="0" applyNumberFormat="1" applyFont="1" applyBorder="1" applyAlignment="1">
      <alignment horizontal="left"/>
    </xf>
    <xf numFmtId="170" fontId="1" fillId="0" borderId="3" xfId="0" applyNumberFormat="1" applyFont="1" applyBorder="1"/>
    <xf numFmtId="0" fontId="1" fillId="0" borderId="10" xfId="0" applyFont="1" applyFill="1" applyBorder="1"/>
    <xf numFmtId="170" fontId="7" fillId="0" borderId="3" xfId="0" applyNumberFormat="1" applyFont="1" applyBorder="1"/>
    <xf numFmtId="0" fontId="14" fillId="0" borderId="188" xfId="0" applyFont="1" applyBorder="1"/>
    <xf numFmtId="0" fontId="103" fillId="0" borderId="4" xfId="0" applyFont="1" applyBorder="1"/>
    <xf numFmtId="0" fontId="1" fillId="0" borderId="4" xfId="0" applyFont="1" applyBorder="1"/>
    <xf numFmtId="0" fontId="1" fillId="0" borderId="22" xfId="0" applyFont="1" applyBorder="1"/>
    <xf numFmtId="0" fontId="104" fillId="0" borderId="18" xfId="0" applyFont="1" applyBorder="1"/>
    <xf numFmtId="0" fontId="104" fillId="0" borderId="13" xfId="0" applyFont="1" applyBorder="1"/>
    <xf numFmtId="0" fontId="7" fillId="0" borderId="13" xfId="0" applyFont="1" applyBorder="1"/>
    <xf numFmtId="0" fontId="1" fillId="0" borderId="18" xfId="0" applyFont="1" applyBorder="1"/>
    <xf numFmtId="0" fontId="1" fillId="0" borderId="2" xfId="0" applyFont="1" applyBorder="1"/>
    <xf numFmtId="0" fontId="7" fillId="0" borderId="0" xfId="0" applyFont="1"/>
    <xf numFmtId="0" fontId="7" fillId="0" borderId="0" xfId="0" applyFont="1" applyAlignment="1">
      <alignment horizontal="center"/>
    </xf>
    <xf numFmtId="0" fontId="7" fillId="0" borderId="0" xfId="0" applyFont="1" applyAlignment="1"/>
    <xf numFmtId="0" fontId="1" fillId="0" borderId="177" xfId="0" applyFont="1" applyFill="1" applyBorder="1" applyAlignment="1">
      <alignment horizontal="center"/>
    </xf>
    <xf numFmtId="0" fontId="7" fillId="0" borderId="2" xfId="0" applyFont="1" applyBorder="1"/>
    <xf numFmtId="0" fontId="1" fillId="0" borderId="0" xfId="0" applyFont="1" applyAlignment="1">
      <alignment horizontal="center"/>
    </xf>
    <xf numFmtId="0" fontId="1" fillId="0" borderId="125" xfId="0" applyFont="1" applyBorder="1" applyAlignment="1">
      <alignment horizontal="right"/>
    </xf>
    <xf numFmtId="0" fontId="1" fillId="0" borderId="0" xfId="0" applyFont="1" applyAlignment="1">
      <alignment horizontal="right"/>
    </xf>
    <xf numFmtId="0" fontId="7" fillId="0" borderId="23" xfId="0" applyFont="1" applyBorder="1"/>
    <xf numFmtId="0" fontId="7" fillId="0" borderId="37" xfId="0" applyFont="1" applyBorder="1"/>
    <xf numFmtId="0" fontId="1" fillId="0" borderId="37" xfId="0" applyFont="1" applyBorder="1"/>
    <xf numFmtId="0" fontId="1" fillId="0" borderId="17" xfId="0" applyFont="1" applyBorder="1" applyAlignment="1"/>
    <xf numFmtId="0" fontId="7" fillId="0" borderId="29" xfId="0" applyFont="1" applyBorder="1"/>
    <xf numFmtId="0" fontId="1" fillId="0" borderId="28" xfId="0" applyFont="1" applyBorder="1" applyAlignment="1">
      <alignment horizontal="center"/>
    </xf>
    <xf numFmtId="0" fontId="1" fillId="0" borderId="37" xfId="0" applyFont="1" applyBorder="1" applyAlignment="1">
      <alignment horizontal="center"/>
    </xf>
    <xf numFmtId="0" fontId="1" fillId="0" borderId="38" xfId="0" applyFont="1" applyBorder="1" applyAlignment="1">
      <alignment horizontal="center"/>
    </xf>
    <xf numFmtId="0" fontId="1" fillId="0" borderId="16" xfId="0" applyFont="1" applyBorder="1" applyAlignment="1">
      <alignment horizontal="center"/>
    </xf>
    <xf numFmtId="0" fontId="1" fillId="0" borderId="53" xfId="0" applyFont="1" applyBorder="1" applyAlignment="1">
      <alignment horizontal="center"/>
    </xf>
    <xf numFmtId="0" fontId="7" fillId="11" borderId="11" xfId="0" applyFont="1" applyFill="1" applyBorder="1" applyAlignment="1">
      <alignment horizontal="centerContinuous"/>
    </xf>
    <xf numFmtId="0" fontId="1" fillId="0" borderId="17" xfId="0" applyFont="1" applyBorder="1" applyAlignment="1">
      <alignment horizontal="centerContinuous"/>
    </xf>
    <xf numFmtId="0" fontId="1" fillId="0" borderId="16" xfId="0" applyFont="1" applyBorder="1" applyAlignment="1"/>
    <xf numFmtId="0" fontId="7" fillId="0" borderId="17" xfId="0" applyFont="1" applyBorder="1" applyAlignment="1"/>
    <xf numFmtId="0" fontId="7" fillId="0" borderId="16" xfId="0" applyFont="1" applyBorder="1" applyAlignment="1">
      <alignment horizontal="centerContinuous"/>
    </xf>
    <xf numFmtId="0" fontId="7" fillId="0" borderId="17" xfId="0" applyFont="1" applyBorder="1" applyAlignment="1">
      <alignment horizontal="centerContinuous"/>
    </xf>
    <xf numFmtId="0" fontId="1" fillId="0" borderId="16" xfId="0" applyFont="1" applyBorder="1" applyAlignment="1">
      <alignment horizontal="centerContinuous"/>
    </xf>
    <xf numFmtId="0" fontId="1" fillId="0" borderId="44" xfId="0" applyFont="1" applyBorder="1" applyAlignment="1">
      <alignment horizontal="center"/>
    </xf>
    <xf numFmtId="0" fontId="1" fillId="0" borderId="17" xfId="0" applyFont="1" applyBorder="1" applyAlignment="1">
      <alignment horizontal="center"/>
    </xf>
    <xf numFmtId="0" fontId="1" fillId="0" borderId="0" xfId="0" applyFont="1" applyBorder="1" applyAlignment="1">
      <alignment horizontal="center"/>
    </xf>
    <xf numFmtId="0" fontId="1" fillId="0" borderId="114" xfId="0" applyFont="1" applyBorder="1" applyAlignment="1">
      <alignment horizontal="center"/>
    </xf>
    <xf numFmtId="0" fontId="7" fillId="11" borderId="9" xfId="0" applyFont="1" applyFill="1" applyBorder="1" applyAlignment="1">
      <alignment horizontal="center"/>
    </xf>
    <xf numFmtId="0" fontId="1" fillId="0" borderId="35" xfId="0" applyFont="1" applyBorder="1" applyAlignment="1"/>
    <xf numFmtId="0" fontId="1" fillId="0" borderId="10" xfId="0" applyFont="1" applyBorder="1" applyAlignment="1">
      <alignment horizontal="centerContinuous"/>
    </xf>
    <xf numFmtId="0" fontId="1" fillId="0" borderId="35" xfId="0" applyFont="1" applyBorder="1" applyAlignment="1">
      <alignment horizontal="centerContinuous"/>
    </xf>
    <xf numFmtId="0" fontId="1" fillId="0" borderId="10" xfId="0" applyFont="1" applyBorder="1" applyAlignment="1">
      <alignment horizontal="center"/>
    </xf>
    <xf numFmtId="0" fontId="1" fillId="0" borderId="35" xfId="0" applyFont="1" applyBorder="1" applyAlignment="1">
      <alignment horizontal="center"/>
    </xf>
    <xf numFmtId="0" fontId="1" fillId="0" borderId="6" xfId="0" applyFont="1" applyBorder="1" applyAlignment="1">
      <alignment horizontal="center"/>
    </xf>
    <xf numFmtId="0" fontId="1" fillId="0" borderId="80" xfId="0" applyFont="1" applyBorder="1" applyAlignment="1">
      <alignment horizontal="center"/>
    </xf>
    <xf numFmtId="0" fontId="7" fillId="0" borderId="94" xfId="0" applyFont="1" applyBorder="1" applyAlignment="1">
      <alignment horizontal="center"/>
    </xf>
    <xf numFmtId="0" fontId="1" fillId="0" borderId="189" xfId="0" quotePrefix="1" applyFont="1" applyBorder="1"/>
    <xf numFmtId="0" fontId="1" fillId="0" borderId="95" xfId="0" applyFont="1" applyBorder="1"/>
    <xf numFmtId="0" fontId="1" fillId="0" borderId="189" xfId="0" applyFont="1" applyBorder="1"/>
    <xf numFmtId="0" fontId="1" fillId="0" borderId="91" xfId="0" applyFont="1" applyBorder="1"/>
    <xf numFmtId="185" fontId="1" fillId="0" borderId="189" xfId="0" applyNumberFormat="1" applyFont="1" applyBorder="1" applyAlignment="1">
      <alignment horizontal="center"/>
    </xf>
    <xf numFmtId="185" fontId="1" fillId="0" borderId="181" xfId="0" quotePrefix="1" applyNumberFormat="1" applyFont="1" applyBorder="1" applyAlignment="1">
      <alignment horizontal="center"/>
    </xf>
    <xf numFmtId="185" fontId="1" fillId="0" borderId="95" xfId="0" applyNumberFormat="1" applyFont="1" applyBorder="1" applyAlignment="1">
      <alignment horizontal="center"/>
    </xf>
    <xf numFmtId="185" fontId="1" fillId="0" borderId="181" xfId="0" applyNumberFormat="1" applyFont="1" applyBorder="1" applyAlignment="1">
      <alignment horizontal="center"/>
    </xf>
    <xf numFmtId="0" fontId="1" fillId="0" borderId="190" xfId="0" quotePrefix="1" applyFont="1" applyBorder="1" applyAlignment="1">
      <alignment horizontal="center"/>
    </xf>
    <xf numFmtId="0" fontId="7" fillId="0" borderId="9" xfId="0" applyFont="1" applyBorder="1" applyAlignment="1">
      <alignment horizontal="center"/>
    </xf>
    <xf numFmtId="0" fontId="1" fillId="0" borderId="35" xfId="0" quotePrefix="1" applyFont="1" applyBorder="1"/>
    <xf numFmtId="0" fontId="1" fillId="0" borderId="36" xfId="0" quotePrefix="1" applyFont="1" applyBorder="1" applyAlignment="1">
      <alignment horizontal="center"/>
    </xf>
    <xf numFmtId="0" fontId="1" fillId="0" borderId="35" xfId="0" applyFont="1" applyBorder="1"/>
    <xf numFmtId="0" fontId="1" fillId="0" borderId="36" xfId="0" applyFont="1" applyBorder="1"/>
    <xf numFmtId="185" fontId="1" fillId="0" borderId="35" xfId="0" applyNumberFormat="1" applyFont="1" applyBorder="1" applyAlignment="1">
      <alignment horizontal="center"/>
    </xf>
    <xf numFmtId="185" fontId="1" fillId="0" borderId="35" xfId="0" quotePrefix="1" applyNumberFormat="1" applyFont="1" applyBorder="1" applyAlignment="1">
      <alignment horizontal="center"/>
    </xf>
    <xf numFmtId="185" fontId="1" fillId="0" borderId="6" xfId="0" applyNumberFormat="1" applyFont="1" applyBorder="1" applyAlignment="1">
      <alignment horizontal="center"/>
    </xf>
    <xf numFmtId="0" fontId="1" fillId="0" borderId="80" xfId="0" quotePrefix="1" applyFont="1" applyBorder="1" applyAlignment="1">
      <alignment horizontal="center"/>
    </xf>
    <xf numFmtId="0" fontId="1" fillId="0" borderId="11" xfId="0" applyFont="1" applyBorder="1"/>
    <xf numFmtId="0" fontId="1" fillId="0" borderId="0" xfId="0" quotePrefix="1" applyFont="1" applyBorder="1"/>
    <xf numFmtId="0" fontId="7" fillId="0" borderId="191" xfId="0" applyFont="1" applyBorder="1" applyAlignment="1">
      <alignment horizontal="center"/>
    </xf>
    <xf numFmtId="185" fontId="7" fillId="0" borderId="192" xfId="0" applyNumberFormat="1" applyFont="1" applyBorder="1" applyAlignment="1">
      <alignment horizontal="center"/>
    </xf>
    <xf numFmtId="0" fontId="1" fillId="0" borderId="0" xfId="0" quotePrefix="1" applyFont="1" applyBorder="1" applyAlignment="1">
      <alignment horizontal="center"/>
    </xf>
    <xf numFmtId="0" fontId="7" fillId="0" borderId="193" xfId="0" applyFont="1" applyBorder="1"/>
    <xf numFmtId="0" fontId="1" fillId="0" borderId="186" xfId="0" quotePrefix="1" applyFont="1" applyBorder="1" applyAlignment="1">
      <alignment horizontal="center"/>
    </xf>
    <xf numFmtId="0" fontId="1" fillId="0" borderId="194" xfId="0" applyFont="1" applyBorder="1" applyAlignment="1">
      <alignment horizontal="center"/>
    </xf>
    <xf numFmtId="0" fontId="7" fillId="0" borderId="133" xfId="0" applyFont="1" applyBorder="1" applyAlignment="1">
      <alignment horizontal="center"/>
    </xf>
    <xf numFmtId="0" fontId="7" fillId="0" borderId="39" xfId="0" applyFont="1" applyBorder="1" applyAlignment="1">
      <alignment horizontal="center"/>
    </xf>
    <xf numFmtId="0" fontId="1" fillId="0" borderId="8" xfId="0" applyFont="1" applyBorder="1"/>
    <xf numFmtId="0" fontId="1" fillId="0" borderId="4" xfId="0" quotePrefix="1" applyFont="1" applyBorder="1"/>
    <xf numFmtId="0" fontId="1" fillId="0" borderId="4" xfId="0" applyFont="1" applyBorder="1" applyAlignment="1">
      <alignment horizontal="center"/>
    </xf>
    <xf numFmtId="0" fontId="1" fillId="0" borderId="4" xfId="0" quotePrefix="1" applyFont="1" applyBorder="1" applyAlignment="1">
      <alignment horizontal="center"/>
    </xf>
    <xf numFmtId="0" fontId="7" fillId="0" borderId="195" xfId="0" applyFont="1" applyBorder="1"/>
    <xf numFmtId="0" fontId="7" fillId="0" borderId="170" xfId="0" applyFont="1" applyBorder="1" applyAlignment="1">
      <alignment horizontal="center"/>
    </xf>
    <xf numFmtId="185" fontId="7" fillId="0" borderId="22" xfId="0" quotePrefix="1" applyNumberFormat="1" applyFont="1" applyBorder="1" applyAlignment="1">
      <alignment horizontal="center"/>
    </xf>
    <xf numFmtId="0" fontId="1" fillId="0" borderId="5" xfId="0" quotePrefix="1" applyFont="1" applyBorder="1" applyAlignment="1">
      <alignment horizontal="center"/>
    </xf>
    <xf numFmtId="0" fontId="1" fillId="0" borderId="39" xfId="0" quotePrefix="1" applyFont="1" applyBorder="1" applyAlignment="1">
      <alignment horizontal="center"/>
    </xf>
    <xf numFmtId="0" fontId="1" fillId="0" borderId="23" xfId="0" applyFont="1" applyBorder="1"/>
    <xf numFmtId="0" fontId="1" fillId="0" borderId="196" xfId="0" applyFont="1" applyBorder="1"/>
    <xf numFmtId="0" fontId="7" fillId="0" borderId="197" xfId="0" applyFont="1" applyBorder="1" applyAlignment="1">
      <alignment horizontal="center"/>
    </xf>
    <xf numFmtId="0" fontId="1" fillId="0" borderId="24" xfId="0" applyFont="1" applyBorder="1"/>
    <xf numFmtId="0" fontId="7" fillId="0" borderId="9" xfId="0" applyFont="1" applyBorder="1" applyAlignment="1">
      <alignment horizontal="centerContinuous"/>
    </xf>
    <xf numFmtId="0" fontId="1" fillId="0" borderId="10" xfId="0" applyFont="1" applyBorder="1" applyAlignment="1"/>
    <xf numFmtId="0" fontId="7" fillId="0" borderId="35" xfId="0" applyFont="1" applyBorder="1" applyAlignment="1">
      <alignment horizontal="centerContinuous"/>
    </xf>
    <xf numFmtId="0" fontId="7" fillId="0" borderId="196" xfId="0" applyFont="1" applyBorder="1"/>
    <xf numFmtId="0" fontId="7" fillId="0" borderId="79" xfId="0" applyFont="1" applyBorder="1"/>
    <xf numFmtId="0" fontId="7" fillId="0" borderId="198" xfId="0" applyFont="1" applyBorder="1" applyAlignment="1">
      <alignment horizontal="center"/>
    </xf>
    <xf numFmtId="0" fontId="7" fillId="0" borderId="42" xfId="0" applyFont="1" applyBorder="1" applyAlignment="1"/>
    <xf numFmtId="0" fontId="7" fillId="0" borderId="5" xfId="0" applyFont="1" applyBorder="1" applyAlignment="1">
      <alignment horizontal="center"/>
    </xf>
    <xf numFmtId="0" fontId="7" fillId="0" borderId="35" xfId="0" applyFont="1" applyBorder="1" applyAlignment="1">
      <alignment horizontal="center"/>
    </xf>
    <xf numFmtId="0" fontId="7" fillId="0" borderId="199" xfId="0" applyFont="1" applyBorder="1" applyAlignment="1">
      <alignment horizontal="center"/>
    </xf>
    <xf numFmtId="0" fontId="7" fillId="0" borderId="6" xfId="0" applyFont="1" applyBorder="1" applyAlignment="1">
      <alignment horizontal="center"/>
    </xf>
    <xf numFmtId="0" fontId="7" fillId="0" borderId="74" xfId="0" applyFont="1" applyBorder="1" applyAlignment="1">
      <alignment horizontal="center"/>
    </xf>
    <xf numFmtId="0" fontId="1" fillId="0" borderId="200" xfId="0" quotePrefix="1" applyFont="1" applyBorder="1" applyAlignment="1">
      <alignment horizontal="center"/>
    </xf>
    <xf numFmtId="0" fontId="1" fillId="0" borderId="201" xfId="0" quotePrefix="1" applyFont="1" applyBorder="1"/>
    <xf numFmtId="0" fontId="1" fillId="0" borderId="201" xfId="0" applyFont="1" applyBorder="1" applyAlignment="1">
      <alignment horizontal="center"/>
    </xf>
    <xf numFmtId="0" fontId="1" fillId="0" borderId="126" xfId="0" quotePrefix="1" applyFont="1" applyBorder="1" applyAlignment="1">
      <alignment horizontal="center"/>
    </xf>
    <xf numFmtId="0" fontId="1" fillId="0" borderId="202" xfId="0" applyFont="1" applyBorder="1"/>
    <xf numFmtId="0" fontId="1" fillId="0" borderId="126" xfId="0" applyFont="1" applyBorder="1"/>
    <xf numFmtId="0" fontId="1" fillId="0" borderId="201" xfId="0" quotePrefix="1" applyFont="1" applyBorder="1" applyAlignment="1">
      <alignment horizontal="center"/>
    </xf>
    <xf numFmtId="2" fontId="1" fillId="0" borderId="203" xfId="0" applyNumberFormat="1" applyFont="1" applyBorder="1" applyAlignment="1">
      <alignment horizontal="center"/>
    </xf>
    <xf numFmtId="0" fontId="1" fillId="0" borderId="125" xfId="0" applyFont="1" applyBorder="1" applyAlignment="1">
      <alignment horizontal="center"/>
    </xf>
    <xf numFmtId="185" fontId="1" fillId="0" borderId="180" xfId="0" quotePrefix="1" applyNumberFormat="1" applyFont="1" applyBorder="1" applyAlignment="1">
      <alignment horizontal="center"/>
    </xf>
    <xf numFmtId="0" fontId="1" fillId="0" borderId="9" xfId="0" quotePrefix="1" applyFont="1" applyBorder="1" applyAlignment="1">
      <alignment horizontal="center"/>
    </xf>
    <xf numFmtId="0" fontId="1" fillId="0" borderId="35" xfId="0" quotePrefix="1" applyFont="1" applyBorder="1" applyAlignment="1">
      <alignment horizontal="center"/>
    </xf>
    <xf numFmtId="0" fontId="1" fillId="0" borderId="36" xfId="0" applyFont="1" applyBorder="1" applyAlignment="1">
      <alignment horizontal="right"/>
    </xf>
    <xf numFmtId="0" fontId="1" fillId="0" borderId="35" xfId="0" quotePrefix="1" applyFont="1" applyBorder="1" applyAlignment="1"/>
    <xf numFmtId="2" fontId="1" fillId="0" borderId="204" xfId="0" applyNumberFormat="1" applyFont="1" applyBorder="1" applyAlignment="1">
      <alignment horizontal="center"/>
    </xf>
    <xf numFmtId="185" fontId="1" fillId="0" borderId="80" xfId="0" applyNumberFormat="1" applyFont="1" applyBorder="1" applyAlignment="1">
      <alignment horizontal="center"/>
    </xf>
    <xf numFmtId="0" fontId="1" fillId="11" borderId="56" xfId="0" applyFont="1" applyFill="1" applyBorder="1"/>
    <xf numFmtId="0" fontId="1" fillId="11" borderId="1" xfId="0" applyFont="1" applyFill="1" applyBorder="1"/>
    <xf numFmtId="0" fontId="7" fillId="11" borderId="1" xfId="0" applyFont="1" applyFill="1" applyBorder="1"/>
    <xf numFmtId="0" fontId="7" fillId="0" borderId="205" xfId="0" applyFont="1" applyBorder="1" applyAlignment="1">
      <alignment horizontal="center"/>
    </xf>
    <xf numFmtId="2" fontId="7" fillId="0" borderId="206" xfId="0" applyNumberFormat="1" applyFont="1" applyBorder="1" applyAlignment="1">
      <alignment horizontal="center"/>
    </xf>
    <xf numFmtId="0" fontId="7" fillId="0" borderId="78" xfId="0" applyFont="1" applyBorder="1" applyAlignment="1">
      <alignment horizontal="center"/>
    </xf>
    <xf numFmtId="185" fontId="7" fillId="0" borderId="141" xfId="0" applyNumberFormat="1" applyFont="1" applyBorder="1" applyAlignment="1">
      <alignment horizontal="center"/>
    </xf>
    <xf numFmtId="0" fontId="1" fillId="0" borderId="38" xfId="0" applyFont="1" applyBorder="1"/>
    <xf numFmtId="0" fontId="7" fillId="0" borderId="37" xfId="0" applyFont="1" applyFill="1" applyBorder="1"/>
    <xf numFmtId="0" fontId="1" fillId="0" borderId="39" xfId="0" applyFont="1" applyBorder="1"/>
    <xf numFmtId="0" fontId="1" fillId="0" borderId="36" xfId="0" applyFont="1" applyBorder="1" applyAlignment="1">
      <alignment horizontal="centerContinuous"/>
    </xf>
    <xf numFmtId="0" fontId="1" fillId="0" borderId="39" xfId="0" applyFont="1" applyBorder="1" applyAlignment="1"/>
    <xf numFmtId="0" fontId="7" fillId="0" borderId="35" xfId="0" applyFont="1" applyFill="1" applyBorder="1" applyAlignment="1"/>
    <xf numFmtId="0" fontId="1" fillId="0" borderId="36" xfId="0" applyFont="1" applyFill="1" applyBorder="1"/>
    <xf numFmtId="0" fontId="7" fillId="0" borderId="10" xfId="0" applyFont="1" applyBorder="1" applyAlignment="1">
      <alignment horizontal="centerContinuous"/>
    </xf>
    <xf numFmtId="0" fontId="7" fillId="0" borderId="35" xfId="0" applyFont="1" applyBorder="1"/>
    <xf numFmtId="0" fontId="7" fillId="0" borderId="10" xfId="0" applyFont="1" applyBorder="1"/>
    <xf numFmtId="0" fontId="7" fillId="0" borderId="10" xfId="0" applyFont="1" applyBorder="1" applyAlignment="1">
      <alignment horizontal="center"/>
    </xf>
    <xf numFmtId="0" fontId="1" fillId="0" borderId="74" xfId="0" applyFont="1" applyBorder="1" applyAlignment="1"/>
    <xf numFmtId="1" fontId="1" fillId="0" borderId="94" xfId="0" applyNumberFormat="1" applyFont="1" applyFill="1" applyBorder="1" applyAlignment="1">
      <alignment horizontal="center"/>
    </xf>
    <xf numFmtId="0" fontId="1" fillId="11" borderId="189" xfId="0" applyFont="1" applyFill="1" applyBorder="1" applyAlignment="1">
      <alignment horizontal="centerContinuous"/>
    </xf>
    <xf numFmtId="0" fontId="1" fillId="11" borderId="91" xfId="0" applyFont="1" applyFill="1" applyBorder="1" applyAlignment="1">
      <alignment horizontal="centerContinuous"/>
    </xf>
    <xf numFmtId="170" fontId="1" fillId="0" borderId="189" xfId="0" applyNumberFormat="1" applyFont="1" applyBorder="1"/>
    <xf numFmtId="0" fontId="1" fillId="0" borderId="95" xfId="0" quotePrefix="1" applyFont="1" applyBorder="1"/>
    <xf numFmtId="4" fontId="1" fillId="0" borderId="189" xfId="0" applyNumberFormat="1" applyFont="1" applyBorder="1"/>
    <xf numFmtId="0" fontId="7" fillId="0" borderId="28" xfId="0" applyFont="1" applyBorder="1" applyAlignment="1">
      <alignment horizontal="center"/>
    </xf>
    <xf numFmtId="0" fontId="1" fillId="0" borderId="124" xfId="0" applyFont="1" applyBorder="1" applyAlignment="1">
      <alignment horizontal="center"/>
    </xf>
    <xf numFmtId="0" fontId="1" fillId="0" borderId="201" xfId="0" applyFont="1" applyFill="1" applyBorder="1" applyAlignment="1"/>
    <xf numFmtId="0" fontId="1" fillId="0" borderId="126" xfId="0" applyFont="1" applyFill="1" applyBorder="1" applyAlignment="1">
      <alignment horizontal="center"/>
    </xf>
    <xf numFmtId="170" fontId="1" fillId="0" borderId="125" xfId="0" applyNumberFormat="1" applyFont="1" applyBorder="1"/>
    <xf numFmtId="0" fontId="1" fillId="0" borderId="125" xfId="0" quotePrefix="1" applyFont="1" applyBorder="1"/>
    <xf numFmtId="4" fontId="1" fillId="0" borderId="201" xfId="0" applyNumberFormat="1" applyFont="1" applyBorder="1"/>
    <xf numFmtId="0" fontId="7" fillId="0" borderId="80" xfId="0" applyFont="1" applyBorder="1" applyAlignment="1">
      <alignment horizontal="center"/>
    </xf>
    <xf numFmtId="0" fontId="1" fillId="11" borderId="84" xfId="0" applyFont="1" applyFill="1" applyBorder="1"/>
    <xf numFmtId="185" fontId="1" fillId="0" borderId="207" xfId="0" applyNumberFormat="1" applyFont="1" applyBorder="1"/>
    <xf numFmtId="0" fontId="1" fillId="0" borderId="70" xfId="0" applyFont="1" applyBorder="1"/>
    <xf numFmtId="170" fontId="1" fillId="0" borderId="7" xfId="0" applyNumberFormat="1" applyFont="1" applyBorder="1"/>
    <xf numFmtId="0" fontId="1" fillId="0" borderId="7" xfId="0" quotePrefix="1" applyFont="1" applyBorder="1"/>
    <xf numFmtId="4" fontId="1" fillId="0" borderId="207" xfId="0" applyNumberFormat="1" applyFont="1" applyBorder="1"/>
    <xf numFmtId="185" fontId="7" fillId="0" borderId="17" xfId="0" applyNumberFormat="1" applyFont="1" applyBorder="1"/>
    <xf numFmtId="1" fontId="1" fillId="0" borderId="28" xfId="0" applyNumberFormat="1" applyFont="1" applyBorder="1"/>
    <xf numFmtId="185" fontId="1" fillId="0" borderId="17" xfId="0" applyNumberFormat="1" applyFont="1" applyBorder="1"/>
    <xf numFmtId="185" fontId="1" fillId="0" borderId="28" xfId="0" applyNumberFormat="1" applyFont="1" applyBorder="1"/>
    <xf numFmtId="4" fontId="1" fillId="0" borderId="17" xfId="0" applyNumberFormat="1" applyFont="1" applyBorder="1"/>
    <xf numFmtId="170" fontId="1" fillId="0" borderId="53" xfId="0" applyNumberFormat="1" applyFont="1" applyBorder="1" applyAlignment="1"/>
    <xf numFmtId="0" fontId="1" fillId="0" borderId="9" xfId="0" applyFont="1" applyFill="1" applyBorder="1"/>
    <xf numFmtId="185" fontId="1" fillId="0" borderId="35" xfId="0" applyNumberFormat="1" applyFont="1" applyBorder="1" applyAlignment="1">
      <alignment horizontal="right"/>
    </xf>
    <xf numFmtId="170" fontId="1" fillId="0" borderId="35" xfId="0" applyNumberFormat="1" applyFont="1" applyBorder="1"/>
    <xf numFmtId="0" fontId="1" fillId="0" borderId="10" xfId="0" quotePrefix="1" applyFont="1" applyBorder="1"/>
    <xf numFmtId="4" fontId="1" fillId="0" borderId="35" xfId="0" applyNumberFormat="1" applyFont="1" applyBorder="1"/>
    <xf numFmtId="1" fontId="1" fillId="0" borderId="6" xfId="0" applyNumberFormat="1" applyFont="1" applyBorder="1" applyAlignment="1">
      <alignment horizontal="center"/>
    </xf>
    <xf numFmtId="4" fontId="1" fillId="0" borderId="35" xfId="0" applyNumberFormat="1" applyFont="1" applyBorder="1" applyAlignment="1">
      <alignment horizontal="center"/>
    </xf>
    <xf numFmtId="4" fontId="1" fillId="0" borderId="80" xfId="0" applyNumberFormat="1" applyFont="1" applyBorder="1" applyAlignment="1">
      <alignment horizontal="center"/>
    </xf>
    <xf numFmtId="0" fontId="1" fillId="11" borderId="8" xfId="0" applyFont="1" applyFill="1" applyBorder="1"/>
    <xf numFmtId="0" fontId="1" fillId="11" borderId="4" xfId="0" applyFont="1" applyFill="1" applyBorder="1"/>
    <xf numFmtId="0" fontId="7" fillId="0" borderId="71" xfId="0" applyFont="1" applyBorder="1"/>
    <xf numFmtId="0" fontId="1" fillId="0" borderId="1" xfId="0" applyFont="1" applyBorder="1"/>
    <xf numFmtId="4" fontId="7" fillId="0" borderId="71" xfId="0" applyNumberFormat="1" applyFont="1" applyBorder="1"/>
    <xf numFmtId="0" fontId="1" fillId="0" borderId="57" xfId="0" applyFont="1" applyBorder="1"/>
    <xf numFmtId="0" fontId="1" fillId="11" borderId="71" xfId="0" applyFont="1" applyFill="1" applyBorder="1"/>
    <xf numFmtId="4" fontId="7" fillId="0" borderId="117" xfId="0" applyNumberFormat="1" applyFont="1" applyBorder="1" applyAlignment="1">
      <alignment horizontal="center"/>
    </xf>
    <xf numFmtId="0" fontId="7" fillId="0" borderId="11" xfId="0" applyFont="1" applyBorder="1" applyAlignment="1">
      <alignment horizontal="center"/>
    </xf>
    <xf numFmtId="0" fontId="7" fillId="0" borderId="17" xfId="0" applyFont="1" applyBorder="1"/>
    <xf numFmtId="0" fontId="1" fillId="0" borderId="29" xfId="0" applyFont="1" applyBorder="1"/>
    <xf numFmtId="0" fontId="7" fillId="0" borderId="17" xfId="0" applyFont="1" applyBorder="1" applyAlignment="1">
      <alignment horizontal="center"/>
    </xf>
    <xf numFmtId="0" fontId="7" fillId="0" borderId="42" xfId="0" applyFont="1" applyBorder="1" applyAlignment="1">
      <alignment horizontal="centerContinuous"/>
    </xf>
    <xf numFmtId="0" fontId="7" fillId="0" borderId="53" xfId="0" applyFont="1" applyBorder="1" applyAlignment="1">
      <alignment horizontal="center"/>
    </xf>
    <xf numFmtId="0" fontId="7" fillId="0" borderId="35" xfId="0" applyFont="1" applyBorder="1" applyAlignment="1"/>
    <xf numFmtId="0" fontId="1" fillId="0" borderId="27" xfId="0" applyFont="1" applyBorder="1"/>
    <xf numFmtId="1" fontId="1" fillId="0" borderId="17" xfId="0" applyNumberFormat="1" applyFont="1" applyBorder="1"/>
    <xf numFmtId="0" fontId="7" fillId="0" borderId="28" xfId="0" applyFont="1" applyBorder="1" applyAlignment="1"/>
    <xf numFmtId="0" fontId="1" fillId="0" borderId="28" xfId="0" applyFont="1" applyBorder="1"/>
    <xf numFmtId="4" fontId="1" fillId="0" borderId="53" xfId="0" applyNumberFormat="1" applyFont="1" applyBorder="1"/>
    <xf numFmtId="0" fontId="1" fillId="0" borderId="124" xfId="0" applyFont="1" applyBorder="1"/>
    <xf numFmtId="0" fontId="1" fillId="0" borderId="201" xfId="0" applyFont="1" applyBorder="1"/>
    <xf numFmtId="1" fontId="1" fillId="0" borderId="201" xfId="0" applyNumberFormat="1" applyFont="1" applyBorder="1"/>
    <xf numFmtId="0" fontId="1" fillId="0" borderId="182" xfId="0" applyFont="1" applyBorder="1" applyAlignment="1">
      <alignment horizontal="right"/>
    </xf>
    <xf numFmtId="9" fontId="1" fillId="0" borderId="182" xfId="0" applyNumberFormat="1" applyFont="1" applyBorder="1" applyAlignment="1">
      <alignment horizontal="center"/>
    </xf>
    <xf numFmtId="170" fontId="1" fillId="0" borderId="201" xfId="0" applyNumberFormat="1" applyFont="1" applyBorder="1"/>
    <xf numFmtId="4" fontId="1" fillId="0" borderId="180" xfId="0" applyNumberFormat="1" applyFont="1" applyBorder="1" applyAlignment="1"/>
    <xf numFmtId="0" fontId="1" fillId="0" borderId="9" xfId="0" applyFont="1" applyBorder="1"/>
    <xf numFmtId="1" fontId="1" fillId="0" borderId="35" xfId="0" applyNumberFormat="1" applyFont="1" applyBorder="1"/>
    <xf numFmtId="0" fontId="1" fillId="0" borderId="44" xfId="0" applyFont="1" applyBorder="1" applyAlignment="1">
      <alignment horizontal="right"/>
    </xf>
    <xf numFmtId="0" fontId="1" fillId="0" borderId="44" xfId="0" applyFont="1" applyBorder="1"/>
    <xf numFmtId="2" fontId="1" fillId="0" borderId="42" xfId="0" applyNumberFormat="1" applyFont="1" applyBorder="1"/>
    <xf numFmtId="4" fontId="1" fillId="0" borderId="114" xfId="0" applyNumberFormat="1" applyFont="1" applyBorder="1" applyAlignment="1"/>
    <xf numFmtId="185" fontId="1" fillId="11" borderId="4" xfId="0" applyNumberFormat="1" applyFont="1" applyFill="1" applyBorder="1"/>
    <xf numFmtId="0" fontId="1" fillId="11" borderId="4" xfId="0" applyFont="1" applyFill="1" applyBorder="1" applyAlignment="1">
      <alignment horizontal="center"/>
    </xf>
    <xf numFmtId="4" fontId="7" fillId="0" borderId="117" xfId="0" applyNumberFormat="1" applyFont="1" applyBorder="1" applyAlignment="1"/>
    <xf numFmtId="171" fontId="7" fillId="0" borderId="8" xfId="0" applyNumberFormat="1" applyFont="1" applyBorder="1"/>
    <xf numFmtId="171" fontId="104" fillId="0" borderId="4" xfId="0" applyNumberFormat="1" applyFont="1" applyBorder="1"/>
    <xf numFmtId="171" fontId="1" fillId="0" borderId="4" xfId="0" applyNumberFormat="1" applyFont="1" applyBorder="1"/>
    <xf numFmtId="171" fontId="7" fillId="0" borderId="58" xfId="0" applyNumberFormat="1" applyFont="1" applyBorder="1" applyAlignment="1">
      <alignment horizontal="centerContinuous"/>
    </xf>
    <xf numFmtId="171" fontId="7" fillId="0" borderId="59" xfId="0" applyNumberFormat="1" applyFont="1" applyBorder="1" applyAlignment="1">
      <alignment horizontal="centerContinuous"/>
    </xf>
    <xf numFmtId="171" fontId="1" fillId="0" borderId="59" xfId="0" applyNumberFormat="1" applyFont="1" applyBorder="1"/>
    <xf numFmtId="171" fontId="7" fillId="0" borderId="59" xfId="0" applyNumberFormat="1" applyFont="1" applyBorder="1"/>
    <xf numFmtId="171" fontId="1" fillId="0" borderId="208" xfId="0" applyNumberFormat="1" applyFont="1" applyBorder="1"/>
    <xf numFmtId="0" fontId="1" fillId="0" borderId="67" xfId="0" applyFont="1" applyBorder="1"/>
    <xf numFmtId="171" fontId="7" fillId="0" borderId="99" xfId="0" applyNumberFormat="1" applyFont="1" applyBorder="1" applyAlignment="1">
      <alignment horizontal="center"/>
    </xf>
    <xf numFmtId="171" fontId="1" fillId="0" borderId="9" xfId="0" applyNumberFormat="1" applyFont="1" applyBorder="1"/>
    <xf numFmtId="171" fontId="1" fillId="0" borderId="10" xfId="0" applyNumberFormat="1" applyFont="1" applyBorder="1"/>
    <xf numFmtId="171" fontId="1" fillId="0" borderId="35" xfId="0" applyNumberFormat="1" applyFont="1" applyBorder="1"/>
    <xf numFmtId="171" fontId="1" fillId="0" borderId="36" xfId="0" applyNumberFormat="1" applyFont="1" applyBorder="1"/>
    <xf numFmtId="171" fontId="1" fillId="0" borderId="161" xfId="0" applyNumberFormat="1" applyFont="1" applyBorder="1"/>
    <xf numFmtId="171" fontId="1" fillId="0" borderId="169" xfId="0" applyNumberFormat="1" applyFont="1" applyBorder="1"/>
    <xf numFmtId="171" fontId="1" fillId="0" borderId="209" xfId="0" applyNumberFormat="1" applyFont="1" applyBorder="1"/>
    <xf numFmtId="0" fontId="1" fillId="0" borderId="169" xfId="0" applyFont="1" applyBorder="1"/>
    <xf numFmtId="0" fontId="1" fillId="0" borderId="209" xfId="0" applyFont="1" applyBorder="1"/>
    <xf numFmtId="171" fontId="1" fillId="0" borderId="80" xfId="0" applyNumberFormat="1" applyFont="1" applyBorder="1"/>
    <xf numFmtId="171" fontId="1" fillId="0" borderId="8" xfId="0" quotePrefix="1" applyNumberFormat="1" applyFont="1" applyBorder="1"/>
    <xf numFmtId="171" fontId="1" fillId="0" borderId="4" xfId="0" quotePrefix="1" applyNumberFormat="1" applyFont="1" applyBorder="1"/>
    <xf numFmtId="171" fontId="1" fillId="0" borderId="100" xfId="0" applyNumberFormat="1" applyFont="1" applyBorder="1"/>
    <xf numFmtId="171" fontId="1" fillId="0" borderId="60" xfId="0" applyNumberFormat="1" applyFont="1" applyBorder="1"/>
    <xf numFmtId="171" fontId="1" fillId="0" borderId="71" xfId="0" applyNumberFormat="1" applyFont="1" applyBorder="1"/>
    <xf numFmtId="170" fontId="1" fillId="0" borderId="121" xfId="0" applyNumberFormat="1" applyFont="1" applyBorder="1" applyAlignment="1">
      <alignment horizontal="center"/>
    </xf>
    <xf numFmtId="0" fontId="7" fillId="0" borderId="9" xfId="0" applyFont="1" applyBorder="1"/>
    <xf numFmtId="0" fontId="7" fillId="0" borderId="12" xfId="0" applyFont="1" applyBorder="1" applyAlignment="1">
      <alignment horizontal="center"/>
    </xf>
    <xf numFmtId="0" fontId="1" fillId="0" borderId="0" xfId="0" applyFont="1" applyAlignment="1"/>
    <xf numFmtId="15" fontId="1" fillId="0" borderId="9" xfId="0" applyNumberFormat="1" applyFont="1" applyBorder="1" applyAlignment="1">
      <alignment horizontal="centerContinuous"/>
    </xf>
    <xf numFmtId="170" fontId="7" fillId="0" borderId="80" xfId="0" applyNumberFormat="1" applyFont="1" applyBorder="1" applyAlignment="1">
      <alignment horizontal="center"/>
    </xf>
    <xf numFmtId="0" fontId="7" fillId="0" borderId="23" xfId="0" applyFont="1" applyBorder="1" applyAlignment="1">
      <alignment horizontal="centerContinuous"/>
    </xf>
    <xf numFmtId="0" fontId="1" fillId="0" borderId="37" xfId="0" applyFont="1" applyBorder="1" applyAlignment="1">
      <alignment horizontal="centerContinuous"/>
    </xf>
    <xf numFmtId="0" fontId="105" fillId="0" borderId="16" xfId="0" applyFont="1" applyBorder="1" applyAlignment="1">
      <alignment horizontal="centerContinuous"/>
    </xf>
    <xf numFmtId="0" fontId="105" fillId="0" borderId="10" xfId="0" applyFont="1" applyBorder="1"/>
    <xf numFmtId="0" fontId="1" fillId="0" borderId="201" xfId="0" applyFont="1" applyBorder="1" applyAlignment="1">
      <alignment horizontal="centerContinuous"/>
    </xf>
    <xf numFmtId="0" fontId="1" fillId="0" borderId="125" xfId="0" applyFont="1" applyBorder="1" applyAlignment="1">
      <alignment horizontal="centerContinuous"/>
    </xf>
    <xf numFmtId="0" fontId="7" fillId="0" borderId="181" xfId="0" applyFont="1" applyBorder="1" applyAlignment="1">
      <alignment horizontal="center"/>
    </xf>
    <xf numFmtId="170" fontId="7" fillId="0" borderId="180" xfId="0" applyNumberFormat="1" applyFont="1" applyBorder="1" applyAlignment="1">
      <alignment horizontal="center"/>
    </xf>
    <xf numFmtId="0" fontId="1" fillId="0" borderId="9" xfId="0" applyFont="1" applyBorder="1" applyAlignment="1">
      <alignment horizontal="center"/>
    </xf>
    <xf numFmtId="0" fontId="104" fillId="0" borderId="35" xfId="0" applyFont="1" applyBorder="1" applyAlignment="1"/>
    <xf numFmtId="0" fontId="7" fillId="0" borderId="10" xfId="0" applyFont="1" applyBorder="1" applyAlignment="1"/>
    <xf numFmtId="170" fontId="1" fillId="0" borderId="80" xfId="0" applyNumberFormat="1" applyFont="1" applyBorder="1" applyAlignment="1">
      <alignment horizontal="center"/>
    </xf>
    <xf numFmtId="0" fontId="1" fillId="11" borderId="2" xfId="0" applyFont="1" applyFill="1" applyBorder="1"/>
    <xf numFmtId="0" fontId="1" fillId="11" borderId="0" xfId="0" applyFont="1" applyFill="1" applyBorder="1"/>
    <xf numFmtId="0" fontId="1" fillId="11" borderId="0" xfId="0" applyFont="1" applyFill="1"/>
    <xf numFmtId="0" fontId="7" fillId="0" borderId="79" xfId="0" applyFont="1" applyBorder="1" applyAlignment="1"/>
    <xf numFmtId="170" fontId="7" fillId="0" borderId="26" xfId="0" applyNumberFormat="1" applyFont="1" applyBorder="1" applyAlignment="1">
      <alignment horizontal="center"/>
    </xf>
    <xf numFmtId="0" fontId="7" fillId="11" borderId="4" xfId="0" applyFont="1" applyFill="1" applyBorder="1"/>
    <xf numFmtId="0" fontId="7" fillId="0" borderId="100" xfId="0" applyFont="1" applyBorder="1"/>
    <xf numFmtId="4" fontId="7" fillId="0" borderId="121" xfId="0" applyNumberFormat="1" applyFont="1" applyBorder="1" applyAlignment="1">
      <alignment horizontal="center"/>
    </xf>
    <xf numFmtId="0" fontId="106" fillId="0" borderId="0" xfId="0" applyFont="1" applyAlignment="1">
      <alignment horizontal="left" vertical="center" indent="1"/>
    </xf>
    <xf numFmtId="0" fontId="107" fillId="0" borderId="0" xfId="0" applyFont="1" applyAlignment="1">
      <alignment horizontal="left" vertical="center" indent="1"/>
    </xf>
    <xf numFmtId="0" fontId="108" fillId="0" borderId="0" xfId="0" applyFont="1" applyAlignment="1">
      <alignment horizontal="justify" vertical="center"/>
    </xf>
    <xf numFmtId="0" fontId="101" fillId="0" borderId="0" xfId="0" applyFont="1"/>
    <xf numFmtId="0" fontId="16" fillId="0" borderId="10" xfId="0" applyFont="1" applyFill="1" applyBorder="1" applyAlignment="1" applyProtection="1">
      <alignment horizontal="right" vertical="center"/>
    </xf>
    <xf numFmtId="0" fontId="15" fillId="0" borderId="0" xfId="0" applyFont="1" applyAlignment="1">
      <alignment horizontal="center" vertical="top" wrapText="1"/>
    </xf>
    <xf numFmtId="0" fontId="51" fillId="0" borderId="0" xfId="0" applyFont="1" applyAlignment="1">
      <alignment vertical="center" wrapText="1"/>
    </xf>
    <xf numFmtId="0" fontId="14" fillId="0" borderId="0" xfId="0" applyFont="1" applyAlignment="1">
      <alignment horizontal="center" vertical="top" wrapText="1"/>
    </xf>
    <xf numFmtId="0" fontId="14" fillId="0" borderId="0" xfId="0" applyFont="1" applyAlignment="1">
      <alignment vertical="center" wrapText="1"/>
    </xf>
    <xf numFmtId="0" fontId="109" fillId="0" borderId="0" xfId="0" applyFont="1" applyAlignment="1">
      <alignment vertical="center" wrapText="1"/>
    </xf>
    <xf numFmtId="0" fontId="110" fillId="0" borderId="0" xfId="0" applyFont="1" applyAlignment="1">
      <alignment vertical="center" wrapText="1"/>
    </xf>
    <xf numFmtId="0" fontId="5" fillId="0" borderId="75" xfId="0" applyFont="1" applyFill="1" applyBorder="1" applyAlignment="1" applyProtection="1">
      <alignment vertical="center"/>
    </xf>
    <xf numFmtId="0" fontId="4" fillId="0" borderId="68" xfId="0" applyFont="1" applyBorder="1" applyAlignment="1" applyProtection="1">
      <alignment vertical="center"/>
    </xf>
    <xf numFmtId="0" fontId="4" fillId="0" borderId="68" xfId="0" applyFont="1" applyBorder="1" applyAlignment="1" applyProtection="1">
      <alignment horizontal="left" vertical="center"/>
    </xf>
    <xf numFmtId="0" fontId="7" fillId="0" borderId="68" xfId="0" applyFont="1" applyBorder="1" applyAlignment="1" applyProtection="1">
      <alignment horizontal="left" vertical="center"/>
    </xf>
    <xf numFmtId="0" fontId="6" fillId="0" borderId="68" xfId="0" applyFont="1" applyFill="1" applyBorder="1" applyAlignment="1" applyProtection="1">
      <alignment vertical="center"/>
    </xf>
    <xf numFmtId="9" fontId="67" fillId="0" borderId="68" xfId="0" applyNumberFormat="1" applyFont="1" applyFill="1" applyBorder="1" applyAlignment="1" applyProtection="1">
      <alignment vertical="center"/>
    </xf>
    <xf numFmtId="9" fontId="4" fillId="0" borderId="0" xfId="0" applyNumberFormat="1" applyFont="1" applyBorder="1" applyAlignment="1" applyProtection="1">
      <alignment vertical="center"/>
    </xf>
    <xf numFmtId="0" fontId="1" fillId="0" borderId="0" xfId="0" applyFont="1" applyBorder="1" applyAlignment="1" applyProtection="1">
      <alignment horizontal="center" vertical="center"/>
    </xf>
    <xf numFmtId="0" fontId="4" fillId="0" borderId="10" xfId="0" applyFont="1" applyBorder="1" applyAlignment="1" applyProtection="1">
      <alignment horizontal="center" vertical="center"/>
    </xf>
    <xf numFmtId="0" fontId="72" fillId="0" borderId="26" xfId="0" applyFont="1" applyFill="1" applyBorder="1" applyAlignment="1" applyProtection="1">
      <alignment horizontal="center" vertical="center"/>
    </xf>
    <xf numFmtId="43" fontId="5" fillId="0" borderId="26" xfId="0" applyNumberFormat="1" applyFont="1" applyFill="1" applyBorder="1" applyAlignment="1" applyProtection="1">
      <alignment horizontal="right" vertical="center"/>
    </xf>
    <xf numFmtId="0" fontId="99" fillId="0" borderId="75" xfId="0" applyFont="1" applyBorder="1" applyAlignment="1">
      <alignment horizontal="left" vertical="center"/>
    </xf>
    <xf numFmtId="183" fontId="42" fillId="0" borderId="12" xfId="0" applyNumberFormat="1" applyFont="1" applyBorder="1" applyAlignment="1">
      <alignment horizontal="left" vertical="center"/>
    </xf>
    <xf numFmtId="0" fontId="17" fillId="0" borderId="16" xfId="0" applyFont="1" applyBorder="1" applyAlignment="1">
      <alignment horizontal="left" vertical="center"/>
    </xf>
    <xf numFmtId="14" fontId="20" fillId="2" borderId="29" xfId="0" applyNumberFormat="1" applyFont="1" applyFill="1" applyBorder="1" applyAlignment="1" applyProtection="1">
      <alignment vertical="center"/>
      <protection locked="0"/>
    </xf>
    <xf numFmtId="0" fontId="17" fillId="0" borderId="37" xfId="0" applyFont="1" applyBorder="1" applyAlignment="1">
      <alignment horizontal="left" vertical="center"/>
    </xf>
    <xf numFmtId="14" fontId="20" fillId="2" borderId="16" xfId="0" applyNumberFormat="1" applyFont="1" applyFill="1" applyBorder="1" applyAlignment="1" applyProtection="1">
      <alignment vertical="center"/>
      <protection locked="0"/>
    </xf>
    <xf numFmtId="0" fontId="17" fillId="0" borderId="13" xfId="0" applyFont="1" applyBorder="1" applyAlignment="1">
      <alignment horizontal="left" vertical="center"/>
    </xf>
    <xf numFmtId="14" fontId="22" fillId="2" borderId="16" xfId="0" applyNumberFormat="1" applyFont="1" applyFill="1" applyBorder="1" applyAlignment="1" applyProtection="1">
      <alignment vertical="center"/>
      <protection locked="0"/>
    </xf>
    <xf numFmtId="14" fontId="22" fillId="2" borderId="40" xfId="0" applyNumberFormat="1" applyFont="1" applyFill="1" applyBorder="1" applyAlignment="1" applyProtection="1">
      <alignment vertical="center"/>
      <protection locked="0"/>
    </xf>
    <xf numFmtId="0" fontId="22" fillId="2" borderId="40" xfId="0" applyFont="1" applyFill="1" applyBorder="1" applyAlignment="1" applyProtection="1">
      <alignment vertical="center"/>
      <protection locked="0"/>
    </xf>
    <xf numFmtId="0" fontId="22" fillId="2" borderId="10" xfId="0" applyFont="1" applyFill="1" applyBorder="1" applyAlignment="1" applyProtection="1">
      <alignment vertical="center"/>
      <protection locked="0"/>
    </xf>
    <xf numFmtId="0" fontId="7" fillId="0" borderId="25" xfId="0" applyFont="1" applyBorder="1" applyAlignment="1">
      <alignment horizontal="center" vertical="center" wrapText="1"/>
    </xf>
    <xf numFmtId="0" fontId="17" fillId="0" borderId="16" xfId="0" applyFont="1" applyBorder="1" applyAlignment="1">
      <alignment vertical="center"/>
    </xf>
    <xf numFmtId="0" fontId="99" fillId="0" borderId="21" xfId="0" applyFont="1" applyBorder="1" applyAlignment="1">
      <alignment vertical="center"/>
    </xf>
    <xf numFmtId="0" fontId="17" fillId="0" borderId="54" xfId="0" applyFont="1" applyBorder="1" applyAlignment="1">
      <alignment vertical="center"/>
    </xf>
    <xf numFmtId="0" fontId="15" fillId="0" borderId="54" xfId="0" applyFont="1" applyBorder="1" applyAlignment="1">
      <alignment horizontal="left" vertical="center"/>
    </xf>
    <xf numFmtId="0" fontId="15" fillId="0" borderId="55" xfId="0" applyFont="1" applyBorder="1" applyAlignment="1">
      <alignment horizontal="left" vertical="center"/>
    </xf>
    <xf numFmtId="0" fontId="73" fillId="0" borderId="2" xfId="0" applyFont="1" applyBorder="1" applyAlignment="1" applyProtection="1">
      <alignment horizontal="left" vertical="center"/>
    </xf>
    <xf numFmtId="0" fontId="53" fillId="0" borderId="0" xfId="0" applyFont="1" applyBorder="1" applyAlignment="1">
      <alignment vertical="center"/>
    </xf>
    <xf numFmtId="1" fontId="41" fillId="0" borderId="0" xfId="0" applyNumberFormat="1" applyFont="1" applyBorder="1" applyAlignment="1">
      <alignment horizontal="right" vertical="center"/>
    </xf>
    <xf numFmtId="0" fontId="17" fillId="0" borderId="37" xfId="0" applyFont="1" applyBorder="1" applyAlignment="1">
      <alignment vertical="center"/>
    </xf>
    <xf numFmtId="0" fontId="20" fillId="2" borderId="45" xfId="0" applyFont="1" applyFill="1" applyBorder="1" applyAlignment="1" applyProtection="1">
      <alignment vertical="center"/>
      <protection locked="0"/>
    </xf>
    <xf numFmtId="0" fontId="7" fillId="0" borderId="11" xfId="0" applyFont="1" applyBorder="1" applyAlignment="1">
      <alignment horizontal="right" vertical="center"/>
    </xf>
    <xf numFmtId="0" fontId="7" fillId="0" borderId="16" xfId="0" applyFont="1" applyBorder="1" applyAlignment="1">
      <alignment horizontal="right" vertical="center"/>
    </xf>
    <xf numFmtId="43" fontId="7" fillId="0" borderId="0" xfId="0" applyNumberFormat="1" applyFont="1" applyBorder="1" applyAlignment="1">
      <alignment horizontal="right" vertical="center"/>
    </xf>
    <xf numFmtId="44" fontId="14" fillId="0" borderId="39" xfId="0" applyNumberFormat="1" applyFont="1" applyBorder="1" applyAlignment="1">
      <alignment vertical="center"/>
    </xf>
    <xf numFmtId="170" fontId="1" fillId="0" borderId="26" xfId="0" applyNumberFormat="1" applyFont="1" applyBorder="1" applyAlignment="1">
      <alignment vertical="center" wrapText="1"/>
    </xf>
    <xf numFmtId="43" fontId="14" fillId="0" borderId="37" xfId="0" applyNumberFormat="1" applyFont="1" applyBorder="1" applyAlignment="1">
      <alignment horizontal="left" vertical="center"/>
    </xf>
    <xf numFmtId="0" fontId="7" fillId="0" borderId="29" xfId="0" applyFont="1" applyBorder="1" applyAlignment="1">
      <alignment horizontal="right" vertical="center"/>
    </xf>
    <xf numFmtId="44" fontId="16" fillId="0" borderId="22" xfId="0" applyNumberFormat="1" applyFont="1" applyBorder="1" applyAlignment="1">
      <alignment vertical="center"/>
    </xf>
    <xf numFmtId="44" fontId="7" fillId="0" borderId="113" xfId="1" applyFont="1" applyBorder="1" applyAlignment="1">
      <alignment vertical="center"/>
    </xf>
    <xf numFmtId="44" fontId="52" fillId="3" borderId="26" xfId="1" applyFont="1" applyFill="1" applyBorder="1" applyAlignment="1">
      <alignment vertical="center"/>
    </xf>
    <xf numFmtId="44" fontId="17" fillId="0" borderId="73" xfId="1" applyFont="1" applyBorder="1" applyAlignment="1">
      <alignment vertical="center"/>
    </xf>
    <xf numFmtId="44" fontId="17" fillId="0" borderId="65" xfId="1" applyFont="1" applyBorder="1" applyAlignment="1">
      <alignment vertical="center"/>
    </xf>
    <xf numFmtId="0" fontId="14" fillId="0" borderId="37" xfId="0" applyFont="1" applyBorder="1" applyAlignment="1">
      <alignment horizontal="centerContinuous" vertical="center"/>
    </xf>
    <xf numFmtId="0" fontId="14" fillId="0" borderId="38" xfId="0" applyFont="1" applyBorder="1" applyAlignment="1">
      <alignment horizontal="centerContinuous" vertical="center"/>
    </xf>
    <xf numFmtId="0" fontId="111" fillId="0" borderId="2" xfId="0" applyFont="1" applyBorder="1" applyAlignment="1" applyProtection="1">
      <alignment horizontal="left" vertical="center"/>
    </xf>
    <xf numFmtId="0" fontId="99" fillId="0" borderId="21" xfId="0" applyFont="1" applyBorder="1" applyAlignment="1">
      <alignment horizontal="left" vertical="center"/>
    </xf>
    <xf numFmtId="0" fontId="17" fillId="0" borderId="54" xfId="0" applyFont="1" applyBorder="1" applyAlignment="1">
      <alignment horizontal="left" vertical="center"/>
    </xf>
    <xf numFmtId="0" fontId="17" fillId="0" borderId="54" xfId="0" applyFont="1" applyBorder="1" applyAlignment="1">
      <alignment horizontal="center" vertical="center"/>
    </xf>
    <xf numFmtId="0" fontId="112" fillId="0" borderId="54" xfId="0" applyFont="1" applyBorder="1" applyAlignment="1">
      <alignment horizontal="center" vertical="center"/>
    </xf>
    <xf numFmtId="0" fontId="0" fillId="0" borderId="13" xfId="0" applyBorder="1"/>
    <xf numFmtId="0" fontId="0" fillId="0" borderId="20" xfId="0" applyBorder="1"/>
    <xf numFmtId="0" fontId="73" fillId="0" borderId="2" xfId="0" applyFont="1" applyBorder="1" applyAlignment="1">
      <alignment vertical="center"/>
    </xf>
    <xf numFmtId="0" fontId="73" fillId="0" borderId="0" xfId="0" applyFont="1" applyBorder="1" applyAlignment="1">
      <alignment vertical="center"/>
    </xf>
    <xf numFmtId="0" fontId="53" fillId="0" borderId="0" xfId="18" applyFont="1" applyBorder="1" applyAlignment="1">
      <alignment vertical="center"/>
    </xf>
    <xf numFmtId="1" fontId="113" fillId="0" borderId="4" xfId="0" applyNumberFormat="1" applyFont="1" applyBorder="1" applyAlignment="1">
      <alignment horizontal="left" vertical="center"/>
    </xf>
    <xf numFmtId="0" fontId="0" fillId="0" borderId="4" xfId="0" applyBorder="1"/>
    <xf numFmtId="0" fontId="0" fillId="0" borderId="22" xfId="0" applyBorder="1"/>
    <xf numFmtId="0" fontId="17" fillId="0" borderId="18" xfId="0" applyFont="1" applyBorder="1" applyAlignment="1">
      <alignment horizontal="left" vertical="center"/>
    </xf>
    <xf numFmtId="0" fontId="15" fillId="0" borderId="13" xfId="0" applyFont="1" applyBorder="1" applyAlignment="1">
      <alignment horizontal="right" vertical="center"/>
    </xf>
    <xf numFmtId="0" fontId="14" fillId="0" borderId="13" xfId="0" applyFont="1" applyBorder="1" applyAlignment="1">
      <alignment horizontal="left" vertical="center"/>
    </xf>
    <xf numFmtId="0" fontId="17" fillId="0" borderId="9" xfId="0" applyFont="1" applyBorder="1" applyAlignment="1">
      <alignment horizontal="left" vertical="center"/>
    </xf>
    <xf numFmtId="0" fontId="17" fillId="0" borderId="0" xfId="0" applyFont="1" applyBorder="1" applyAlignment="1">
      <alignment horizontal="left" vertical="center"/>
    </xf>
    <xf numFmtId="0" fontId="0" fillId="0" borderId="10" xfId="0" applyBorder="1"/>
    <xf numFmtId="0" fontId="0" fillId="0" borderId="74" xfId="0" applyBorder="1"/>
    <xf numFmtId="0" fontId="17" fillId="0" borderId="26" xfId="0" applyFont="1" applyBorder="1" applyAlignment="1">
      <alignment horizontal="center" vertical="center" wrapText="1"/>
    </xf>
    <xf numFmtId="0" fontId="20" fillId="2" borderId="27" xfId="0" applyFont="1" applyFill="1" applyBorder="1" applyAlignment="1" applyProtection="1">
      <alignment horizontal="center" vertical="center"/>
      <protection locked="0"/>
    </xf>
    <xf numFmtId="15" fontId="20" fillId="2" borderId="29" xfId="0" applyNumberFormat="1" applyFont="1" applyFill="1" applyBorder="1" applyAlignment="1" applyProtection="1">
      <alignment vertical="center"/>
      <protection locked="0"/>
    </xf>
    <xf numFmtId="44" fontId="1" fillId="0" borderId="53" xfId="1" applyFont="1" applyBorder="1" applyAlignment="1">
      <alignment vertical="center"/>
    </xf>
    <xf numFmtId="0" fontId="20" fillId="2" borderId="30" xfId="0" applyFont="1" applyFill="1" applyBorder="1" applyAlignment="1" applyProtection="1">
      <alignment horizontal="center" vertical="center"/>
      <protection locked="0"/>
    </xf>
    <xf numFmtId="15" fontId="20" fillId="2" borderId="33" xfId="0" applyNumberFormat="1" applyFont="1" applyFill="1" applyBorder="1" applyAlignment="1" applyProtection="1">
      <alignment vertical="center"/>
      <protection locked="0"/>
    </xf>
    <xf numFmtId="44" fontId="1" fillId="0" borderId="48" xfId="1" applyFont="1" applyBorder="1" applyAlignment="1">
      <alignment vertical="center"/>
    </xf>
    <xf numFmtId="0" fontId="20" fillId="2" borderId="34" xfId="0" applyFont="1" applyFill="1" applyBorder="1" applyAlignment="1" applyProtection="1">
      <alignment horizontal="center" vertical="center"/>
      <protection locked="0"/>
    </xf>
    <xf numFmtId="15" fontId="20" fillId="2" borderId="36" xfId="0" applyNumberFormat="1" applyFont="1" applyFill="1" applyBorder="1" applyAlignment="1" applyProtection="1">
      <alignment vertical="center"/>
      <protection locked="0"/>
    </xf>
    <xf numFmtId="44" fontId="1" fillId="0" borderId="3" xfId="1" applyFont="1" applyBorder="1" applyAlignment="1">
      <alignment vertical="center"/>
    </xf>
    <xf numFmtId="0" fontId="7" fillId="0" borderId="56" xfId="0" applyFont="1" applyBorder="1" applyAlignment="1">
      <alignment horizontal="right" vertical="center"/>
    </xf>
    <xf numFmtId="0" fontId="7" fillId="0" borderId="1" xfId="0" applyFont="1" applyBorder="1" applyAlignment="1">
      <alignment horizontal="right" vertical="center"/>
    </xf>
    <xf numFmtId="0" fontId="0" fillId="0" borderId="1" xfId="0" applyBorder="1"/>
    <xf numFmtId="43" fontId="7" fillId="0" borderId="57" xfId="0" applyNumberFormat="1" applyFont="1" applyBorder="1" applyAlignment="1">
      <alignment horizontal="right" vertical="center"/>
    </xf>
    <xf numFmtId="44" fontId="7" fillId="0" borderId="115" xfId="1" applyFont="1" applyBorder="1" applyAlignment="1">
      <alignment vertical="center"/>
    </xf>
    <xf numFmtId="0" fontId="7" fillId="0" borderId="18" xfId="0" applyFont="1" applyBorder="1" applyAlignment="1">
      <alignment horizontal="right" vertical="center"/>
    </xf>
    <xf numFmtId="44" fontId="52" fillId="2" borderId="120" xfId="1" applyFont="1" applyFill="1" applyBorder="1" applyAlignment="1">
      <alignment vertical="center"/>
    </xf>
    <xf numFmtId="0" fontId="17" fillId="0" borderId="8" xfId="0" applyFont="1" applyBorder="1" applyAlignment="1">
      <alignment horizontal="left" vertical="center"/>
    </xf>
    <xf numFmtId="43" fontId="14" fillId="0" borderId="4" xfId="0" applyNumberFormat="1" applyFont="1" applyBorder="1" applyAlignment="1">
      <alignment vertical="center"/>
    </xf>
    <xf numFmtId="44" fontId="1" fillId="0" borderId="4" xfId="0" applyNumberFormat="1" applyFont="1" applyBorder="1" applyAlignment="1">
      <alignment vertical="center"/>
    </xf>
    <xf numFmtId="0" fontId="92" fillId="0" borderId="210" xfId="0" applyFont="1" applyBorder="1"/>
    <xf numFmtId="0" fontId="0" fillId="0" borderId="122" xfId="0" applyBorder="1"/>
    <xf numFmtId="0" fontId="0" fillId="0" borderId="73" xfId="0" applyBorder="1"/>
    <xf numFmtId="0" fontId="7" fillId="0" borderId="28" xfId="0" applyFont="1" applyBorder="1" applyAlignment="1">
      <alignment horizontal="center" vertical="center"/>
    </xf>
    <xf numFmtId="0" fontId="7" fillId="0" borderId="6" xfId="0" applyFont="1" applyBorder="1" applyAlignment="1">
      <alignment horizontal="center" vertical="center"/>
    </xf>
    <xf numFmtId="0" fontId="1" fillId="12" borderId="211" xfId="0" applyFont="1" applyFill="1" applyBorder="1" applyAlignment="1">
      <alignment wrapText="1"/>
    </xf>
    <xf numFmtId="187" fontId="1" fillId="12" borderId="181" xfId="0" quotePrefix="1" applyNumberFormat="1" applyFont="1" applyFill="1" applyBorder="1"/>
    <xf numFmtId="49" fontId="1" fillId="12" borderId="181" xfId="0" quotePrefix="1" applyNumberFormat="1" applyFont="1" applyFill="1" applyBorder="1"/>
    <xf numFmtId="49" fontId="1" fillId="12" borderId="181" xfId="0" applyNumberFormat="1" applyFont="1" applyFill="1" applyBorder="1"/>
    <xf numFmtId="187" fontId="1" fillId="12" borderId="181" xfId="0" quotePrefix="1" applyNumberFormat="1" applyFont="1" applyFill="1" applyBorder="1" applyAlignment="1">
      <alignment horizontal="center"/>
    </xf>
    <xf numFmtId="49" fontId="1" fillId="12" borderId="181" xfId="0" applyNumberFormat="1" applyFont="1" applyFill="1" applyBorder="1" applyAlignment="1">
      <alignment horizontal="center"/>
    </xf>
    <xf numFmtId="170" fontId="20" fillId="2" borderId="181" xfId="0" applyNumberFormat="1" applyFont="1" applyFill="1" applyBorder="1" applyAlignment="1" applyProtection="1">
      <alignment vertical="center"/>
      <protection locked="0"/>
    </xf>
    <xf numFmtId="44" fontId="1" fillId="0" borderId="190" xfId="1" applyFont="1" applyBorder="1" applyAlignment="1">
      <alignment vertical="center"/>
    </xf>
    <xf numFmtId="0" fontId="0" fillId="12" borderId="212" xfId="0" applyFill="1" applyBorder="1"/>
    <xf numFmtId="187" fontId="1" fillId="12" borderId="183" xfId="0" quotePrefix="1" applyNumberFormat="1" applyFont="1" applyFill="1" applyBorder="1"/>
    <xf numFmtId="49" fontId="1" fillId="12" borderId="183" xfId="0" quotePrefix="1" applyNumberFormat="1" applyFont="1" applyFill="1" applyBorder="1"/>
    <xf numFmtId="49" fontId="1" fillId="12" borderId="183" xfId="0" applyNumberFormat="1" applyFont="1" applyFill="1" applyBorder="1"/>
    <xf numFmtId="49" fontId="1" fillId="12" borderId="183" xfId="0" applyNumberFormat="1" applyFont="1" applyFill="1" applyBorder="1" applyAlignment="1">
      <alignment horizontal="center"/>
    </xf>
    <xf numFmtId="187" fontId="1" fillId="12" borderId="183" xfId="0" quotePrefix="1" applyNumberFormat="1" applyFont="1" applyFill="1" applyBorder="1" applyAlignment="1">
      <alignment horizontal="center"/>
    </xf>
    <xf numFmtId="49" fontId="0" fillId="12" borderId="183" xfId="0" applyNumberFormat="1" applyFill="1" applyBorder="1"/>
    <xf numFmtId="170" fontId="20" fillId="2" borderId="183" xfId="0" applyNumberFormat="1" applyFont="1" applyFill="1" applyBorder="1" applyAlignment="1" applyProtection="1">
      <alignment vertical="center"/>
      <protection locked="0"/>
    </xf>
    <xf numFmtId="44" fontId="1" fillId="0" borderId="213" xfId="1" applyFont="1" applyBorder="1" applyAlignment="1">
      <alignment vertical="center"/>
    </xf>
    <xf numFmtId="49" fontId="7" fillId="12" borderId="183" xfId="0" applyNumberFormat="1" applyFont="1" applyFill="1" applyBorder="1" applyAlignment="1">
      <alignment horizontal="center"/>
    </xf>
    <xf numFmtId="49" fontId="7" fillId="12" borderId="183" xfId="0" applyNumberFormat="1" applyFont="1" applyFill="1" applyBorder="1"/>
    <xf numFmtId="49" fontId="1" fillId="12" borderId="183" xfId="0" quotePrefix="1" applyNumberFormat="1" applyFont="1" applyFill="1" applyBorder="1" applyAlignment="1">
      <alignment horizontal="center"/>
    </xf>
    <xf numFmtId="0" fontId="20" fillId="12" borderId="214" xfId="0" applyFont="1" applyFill="1" applyBorder="1" applyAlignment="1" applyProtection="1">
      <alignment horizontal="center" vertical="center"/>
      <protection locked="0"/>
    </xf>
    <xf numFmtId="187" fontId="1" fillId="12" borderId="215" xfId="0" quotePrefix="1" applyNumberFormat="1" applyFont="1" applyFill="1" applyBorder="1"/>
    <xf numFmtId="49" fontId="20" fillId="12" borderId="215" xfId="0" applyNumberFormat="1" applyFont="1" applyFill="1" applyBorder="1" applyAlignment="1" applyProtection="1">
      <alignment vertical="center"/>
      <protection locked="0"/>
    </xf>
    <xf numFmtId="187" fontId="1" fillId="12" borderId="215" xfId="0" quotePrefix="1" applyNumberFormat="1" applyFont="1" applyFill="1" applyBorder="1" applyAlignment="1">
      <alignment horizontal="center"/>
    </xf>
    <xf numFmtId="49" fontId="20" fillId="12" borderId="215" xfId="0" applyNumberFormat="1" applyFont="1" applyFill="1" applyBorder="1" applyAlignment="1" applyProtection="1">
      <alignment vertical="center"/>
    </xf>
    <xf numFmtId="170" fontId="20" fillId="2" borderId="215" xfId="0" applyNumberFormat="1" applyFont="1" applyFill="1" applyBorder="1" applyAlignment="1" applyProtection="1">
      <alignment vertical="center"/>
      <protection locked="0"/>
    </xf>
    <xf numFmtId="44" fontId="1" fillId="0" borderId="216" xfId="1" applyFont="1" applyBorder="1" applyAlignment="1">
      <alignment vertical="center"/>
    </xf>
    <xf numFmtId="43" fontId="7" fillId="0" borderId="60" xfId="0" applyNumberFormat="1" applyFont="1" applyBorder="1" applyAlignment="1">
      <alignment horizontal="right" vertical="center"/>
    </xf>
    <xf numFmtId="44" fontId="7" fillId="0" borderId="121" xfId="1" applyFont="1" applyBorder="1" applyAlignment="1">
      <alignment vertical="center"/>
    </xf>
    <xf numFmtId="43" fontId="7" fillId="0" borderId="13" xfId="0" applyNumberFormat="1" applyFont="1" applyBorder="1" applyAlignment="1">
      <alignment horizontal="right" vertical="center"/>
    </xf>
    <xf numFmtId="44" fontId="24" fillId="2" borderId="99" xfId="1" applyFont="1" applyFill="1" applyBorder="1" applyAlignment="1">
      <alignment vertical="center"/>
    </xf>
    <xf numFmtId="44" fontId="7" fillId="0" borderId="115" xfId="1" applyFont="1" applyFill="1" applyBorder="1" applyAlignment="1">
      <alignment vertical="center"/>
    </xf>
    <xf numFmtId="44" fontId="24" fillId="0" borderId="3" xfId="1" applyFont="1" applyFill="1" applyBorder="1" applyAlignment="1">
      <alignment vertical="center"/>
    </xf>
    <xf numFmtId="0" fontId="17" fillId="0" borderId="4" xfId="0" applyFont="1" applyBorder="1" applyAlignment="1">
      <alignment horizontal="right"/>
    </xf>
    <xf numFmtId="44" fontId="17" fillId="0" borderId="22" xfId="0" applyNumberFormat="1" applyFont="1" applyBorder="1"/>
    <xf numFmtId="0" fontId="14" fillId="0" borderId="54" xfId="0" applyFont="1" applyBorder="1" applyAlignment="1">
      <alignment vertical="center"/>
    </xf>
    <xf numFmtId="43" fontId="14" fillId="0" borderId="13" xfId="0" applyNumberFormat="1" applyFont="1" applyBorder="1" applyAlignment="1">
      <alignment vertical="center"/>
    </xf>
    <xf numFmtId="44" fontId="1" fillId="0" borderId="20" xfId="0" applyNumberFormat="1" applyFont="1" applyBorder="1" applyAlignment="1">
      <alignment vertical="center"/>
    </xf>
    <xf numFmtId="0" fontId="7" fillId="0" borderId="27" xfId="0" applyFont="1" applyBorder="1" applyAlignment="1">
      <alignment horizontal="right" vertical="center"/>
    </xf>
    <xf numFmtId="43" fontId="14" fillId="0" borderId="0" xfId="0" applyNumberFormat="1" applyFont="1" applyBorder="1" applyAlignment="1">
      <alignment vertical="center"/>
    </xf>
    <xf numFmtId="44" fontId="1" fillId="0" borderId="5" xfId="0" applyNumberFormat="1" applyFont="1" applyBorder="1" applyAlignment="1">
      <alignment vertical="center"/>
    </xf>
    <xf numFmtId="0" fontId="7" fillId="0" borderId="41" xfId="0" applyFont="1" applyBorder="1" applyAlignment="1">
      <alignment horizontal="right" vertical="center"/>
    </xf>
    <xf numFmtId="0" fontId="14" fillId="0" borderId="40" xfId="0" applyFont="1" applyBorder="1" applyAlignment="1">
      <alignment horizontal="right" vertical="center"/>
    </xf>
    <xf numFmtId="0" fontId="14" fillId="0" borderId="40" xfId="0" applyFont="1" applyBorder="1" applyAlignment="1">
      <alignment vertical="center"/>
    </xf>
    <xf numFmtId="43" fontId="14" fillId="0" borderId="40" xfId="0" applyNumberFormat="1" applyFont="1" applyBorder="1" applyAlignment="1">
      <alignment vertical="center"/>
    </xf>
    <xf numFmtId="44" fontId="1" fillId="0" borderId="116" xfId="0" applyNumberFormat="1" applyFont="1" applyBorder="1" applyAlignment="1">
      <alignment vertical="center"/>
    </xf>
    <xf numFmtId="0" fontId="7" fillId="0" borderId="34" xfId="0" applyFont="1" applyBorder="1" applyAlignment="1">
      <alignment horizontal="right" vertical="center"/>
    </xf>
    <xf numFmtId="43" fontId="17" fillId="0" borderId="12" xfId="0" applyNumberFormat="1" applyFont="1" applyBorder="1" applyAlignment="1">
      <alignment horizontal="center" vertical="center" wrapText="1"/>
    </xf>
    <xf numFmtId="188" fontId="20" fillId="2" borderId="27" xfId="0" applyNumberFormat="1" applyFont="1" applyFill="1" applyBorder="1" applyAlignment="1" applyProtection="1">
      <alignment vertical="center"/>
      <protection locked="0"/>
    </xf>
    <xf numFmtId="188" fontId="20" fillId="2" borderId="29" xfId="0" applyNumberFormat="1" applyFont="1" applyFill="1" applyBorder="1" applyAlignment="1" applyProtection="1">
      <alignment vertical="center"/>
      <protection locked="0"/>
    </xf>
    <xf numFmtId="49" fontId="20" fillId="2" borderId="28" xfId="0" applyNumberFormat="1" applyFont="1" applyFill="1" applyBorder="1" applyAlignment="1" applyProtection="1">
      <alignment vertical="center"/>
      <protection locked="0"/>
    </xf>
    <xf numFmtId="49" fontId="20" fillId="2" borderId="17" xfId="0" applyNumberFormat="1" applyFont="1" applyFill="1" applyBorder="1" applyAlignment="1" applyProtection="1">
      <alignment vertical="center"/>
      <protection locked="0"/>
    </xf>
    <xf numFmtId="49" fontId="20" fillId="2" borderId="16" xfId="0" applyNumberFormat="1" applyFont="1" applyFill="1" applyBorder="1" applyAlignment="1" applyProtection="1">
      <alignment vertical="center"/>
      <protection locked="0"/>
    </xf>
    <xf numFmtId="49" fontId="20" fillId="2" borderId="29" xfId="0" applyNumberFormat="1" applyFont="1" applyFill="1" applyBorder="1" applyAlignment="1" applyProtection="1">
      <alignment vertical="center"/>
      <protection locked="0"/>
    </xf>
    <xf numFmtId="7" fontId="20" fillId="2" borderId="28" xfId="0" applyNumberFormat="1" applyFont="1" applyFill="1" applyBorder="1" applyAlignment="1" applyProtection="1">
      <alignment vertical="center"/>
      <protection locked="0"/>
    </xf>
    <xf numFmtId="3" fontId="20" fillId="2" borderId="28" xfId="0" applyNumberFormat="1" applyFont="1" applyFill="1" applyBorder="1" applyAlignment="1" applyProtection="1">
      <alignment vertical="center"/>
      <protection locked="0"/>
    </xf>
    <xf numFmtId="44" fontId="1" fillId="0" borderId="47" xfId="1" applyFont="1" applyBorder="1" applyAlignment="1">
      <alignment vertical="center"/>
    </xf>
    <xf numFmtId="188" fontId="20" fillId="2" borderId="30" xfId="0" applyNumberFormat="1" applyFont="1" applyFill="1" applyBorder="1" applyAlignment="1" applyProtection="1">
      <alignment vertical="center"/>
      <protection locked="0"/>
    </xf>
    <xf numFmtId="188" fontId="20" fillId="2" borderId="33" xfId="0" applyNumberFormat="1" applyFont="1" applyFill="1" applyBorder="1" applyAlignment="1" applyProtection="1">
      <alignment vertical="center"/>
      <protection locked="0"/>
    </xf>
    <xf numFmtId="49" fontId="20" fillId="2" borderId="31" xfId="0" applyNumberFormat="1" applyFont="1" applyFill="1" applyBorder="1" applyAlignment="1" applyProtection="1">
      <alignment vertical="center"/>
      <protection locked="0"/>
    </xf>
    <xf numFmtId="49" fontId="20" fillId="2" borderId="32" xfId="0" applyNumberFormat="1" applyFont="1" applyFill="1" applyBorder="1" applyAlignment="1" applyProtection="1">
      <alignment vertical="center"/>
      <protection locked="0"/>
    </xf>
    <xf numFmtId="49" fontId="20" fillId="2" borderId="40" xfId="0" applyNumberFormat="1" applyFont="1" applyFill="1" applyBorder="1" applyAlignment="1" applyProtection="1">
      <alignment vertical="center"/>
      <protection locked="0"/>
    </xf>
    <xf numFmtId="49" fontId="20" fillId="2" borderId="33" xfId="0" applyNumberFormat="1" applyFont="1" applyFill="1" applyBorder="1" applyAlignment="1" applyProtection="1">
      <alignment vertical="center"/>
      <protection locked="0"/>
    </xf>
    <xf numFmtId="7" fontId="20" fillId="2" borderId="31" xfId="0" applyNumberFormat="1" applyFont="1" applyFill="1" applyBorder="1" applyAlignment="1" applyProtection="1">
      <alignment vertical="center"/>
      <protection locked="0"/>
    </xf>
    <xf numFmtId="3" fontId="20" fillId="2" borderId="31" xfId="0" applyNumberFormat="1" applyFont="1" applyFill="1" applyBorder="1" applyAlignment="1" applyProtection="1">
      <alignment vertical="center"/>
      <protection locked="0"/>
    </xf>
    <xf numFmtId="188" fontId="20" fillId="2" borderId="34" xfId="0" applyNumberFormat="1" applyFont="1" applyFill="1" applyBorder="1" applyAlignment="1" applyProtection="1">
      <alignment vertical="center"/>
      <protection locked="0"/>
    </xf>
    <xf numFmtId="188" fontId="20" fillId="2" borderId="36" xfId="0" applyNumberFormat="1" applyFont="1" applyFill="1" applyBorder="1" applyAlignment="1" applyProtection="1">
      <alignment vertical="center"/>
      <protection locked="0"/>
    </xf>
    <xf numFmtId="49" fontId="20" fillId="2" borderId="6" xfId="0" applyNumberFormat="1" applyFont="1" applyFill="1" applyBorder="1" applyAlignment="1" applyProtection="1">
      <alignment vertical="center"/>
      <protection locked="0"/>
    </xf>
    <xf numFmtId="49" fontId="20" fillId="2" borderId="35" xfId="0" applyNumberFormat="1" applyFont="1" applyFill="1" applyBorder="1" applyAlignment="1" applyProtection="1">
      <alignment vertical="center"/>
      <protection locked="0"/>
    </xf>
    <xf numFmtId="49" fontId="20" fillId="2" borderId="10" xfId="0" applyNumberFormat="1" applyFont="1" applyFill="1" applyBorder="1" applyAlignment="1" applyProtection="1">
      <alignment vertical="center"/>
      <protection locked="0"/>
    </xf>
    <xf numFmtId="49" fontId="20" fillId="2" borderId="36" xfId="0" applyNumberFormat="1" applyFont="1" applyFill="1" applyBorder="1" applyAlignment="1" applyProtection="1">
      <alignment vertical="center"/>
      <protection locked="0"/>
    </xf>
    <xf numFmtId="7" fontId="20" fillId="2" borderId="6" xfId="0" applyNumberFormat="1" applyFont="1" applyFill="1" applyBorder="1" applyAlignment="1" applyProtection="1">
      <alignment vertical="center"/>
      <protection locked="0"/>
    </xf>
    <xf numFmtId="3" fontId="20" fillId="2" borderId="6" xfId="0" applyNumberFormat="1" applyFont="1" applyFill="1" applyBorder="1" applyAlignment="1" applyProtection="1">
      <alignment vertical="center"/>
      <protection locked="0"/>
    </xf>
    <xf numFmtId="44" fontId="7" fillId="0" borderId="80" xfId="1" applyFont="1" applyBorder="1" applyAlignment="1">
      <alignment vertical="center"/>
    </xf>
    <xf numFmtId="44" fontId="52" fillId="2" borderId="117" xfId="1" applyFont="1" applyFill="1" applyBorder="1" applyAlignment="1">
      <alignment vertical="center"/>
    </xf>
    <xf numFmtId="44" fontId="52" fillId="0" borderId="4" xfId="1" applyFont="1" applyFill="1" applyBorder="1" applyAlignment="1">
      <alignment vertical="center"/>
    </xf>
    <xf numFmtId="0" fontId="17" fillId="0" borderId="2" xfId="0" applyFont="1" applyBorder="1" applyAlignment="1">
      <alignment vertical="center"/>
    </xf>
    <xf numFmtId="0" fontId="17" fillId="0" borderId="0" xfId="0" applyFont="1" applyBorder="1" applyAlignment="1">
      <alignment vertical="center"/>
    </xf>
    <xf numFmtId="44" fontId="1" fillId="0" borderId="13" xfId="0" applyNumberFormat="1" applyFont="1" applyBorder="1" applyAlignment="1">
      <alignment vertical="center"/>
    </xf>
    <xf numFmtId="0" fontId="17" fillId="0" borderId="12" xfId="0" applyFont="1" applyBorder="1" applyAlignment="1">
      <alignment horizontal="centerContinuous" vertical="center"/>
    </xf>
    <xf numFmtId="0" fontId="0" fillId="12" borderId="12" xfId="0" applyFill="1" applyBorder="1"/>
    <xf numFmtId="2" fontId="20" fillId="2" borderId="28" xfId="0" applyNumberFormat="1" applyFont="1" applyFill="1" applyBorder="1" applyAlignment="1" applyProtection="1">
      <alignment vertical="center"/>
      <protection locked="0"/>
    </xf>
    <xf numFmtId="44" fontId="20" fillId="2" borderId="53" xfId="1" applyFont="1" applyFill="1" applyBorder="1" applyAlignment="1" applyProtection="1">
      <alignment vertical="center"/>
      <protection locked="0"/>
    </xf>
    <xf numFmtId="2" fontId="20" fillId="2" borderId="118" xfId="0" applyNumberFormat="1" applyFont="1" applyFill="1" applyBorder="1" applyAlignment="1" applyProtection="1">
      <alignment vertical="center"/>
      <protection locked="0"/>
    </xf>
    <xf numFmtId="2" fontId="20" fillId="2" borderId="31" xfId="0" applyNumberFormat="1" applyFont="1" applyFill="1" applyBorder="1" applyAlignment="1" applyProtection="1">
      <alignment vertical="center"/>
      <protection locked="0"/>
    </xf>
    <xf numFmtId="2" fontId="20" fillId="2" borderId="6" xfId="0" applyNumberFormat="1" applyFont="1" applyFill="1" applyBorder="1" applyAlignment="1" applyProtection="1">
      <alignment vertical="center"/>
      <protection locked="0"/>
    </xf>
    <xf numFmtId="44" fontId="20" fillId="2" borderId="3" xfId="1" applyFont="1" applyFill="1" applyBorder="1" applyAlignment="1" applyProtection="1">
      <alignment vertical="center"/>
      <protection locked="0"/>
    </xf>
    <xf numFmtId="44" fontId="1" fillId="0" borderId="22" xfId="0" applyNumberFormat="1" applyFont="1" applyBorder="1" applyAlignment="1">
      <alignment vertical="center"/>
    </xf>
    <xf numFmtId="0" fontId="0" fillId="0" borderId="54" xfId="0" applyBorder="1"/>
    <xf numFmtId="0" fontId="17" fillId="0" borderId="12" xfId="0" applyFont="1" applyBorder="1" applyAlignment="1">
      <alignment horizontal="center" vertical="center"/>
    </xf>
    <xf numFmtId="0" fontId="7" fillId="0" borderId="12" xfId="0" applyFont="1" applyBorder="1" applyAlignment="1">
      <alignment horizontal="center" vertical="center" wrapText="1"/>
    </xf>
    <xf numFmtId="0" fontId="17" fillId="2" borderId="40" xfId="0" applyFont="1" applyFill="1" applyBorder="1" applyAlignment="1">
      <alignment horizontal="left" vertical="center"/>
    </xf>
    <xf numFmtId="14" fontId="20" fillId="2" borderId="217" xfId="0" applyNumberFormat="1" applyFont="1" applyFill="1" applyBorder="1" applyAlignment="1" applyProtection="1">
      <alignment vertical="center"/>
      <protection locked="0"/>
    </xf>
    <xf numFmtId="0" fontId="20" fillId="2" borderId="217" xfId="0" applyFont="1" applyFill="1" applyBorder="1" applyAlignment="1" applyProtection="1">
      <alignment vertical="center"/>
      <protection locked="0"/>
    </xf>
    <xf numFmtId="0" fontId="20" fillId="2" borderId="218" xfId="0" applyFont="1" applyFill="1" applyBorder="1" applyAlignment="1" applyProtection="1">
      <alignment vertical="center"/>
      <protection locked="0"/>
    </xf>
    <xf numFmtId="44" fontId="7" fillId="0" borderId="0" xfId="1" applyFont="1" applyBorder="1" applyAlignment="1">
      <alignment horizontal="right" vertical="center"/>
    </xf>
    <xf numFmtId="44" fontId="6" fillId="0" borderId="102" xfId="1" applyFont="1" applyBorder="1" applyAlignment="1" applyProtection="1">
      <alignment vertical="center"/>
    </xf>
    <xf numFmtId="44" fontId="52" fillId="0" borderId="120" xfId="1" applyFont="1" applyFill="1" applyBorder="1" applyAlignment="1">
      <alignment vertical="center"/>
    </xf>
    <xf numFmtId="0" fontId="0" fillId="0" borderId="8" xfId="0" applyBorder="1"/>
    <xf numFmtId="0" fontId="7" fillId="0" borderId="4" xfId="0" applyFont="1" applyFill="1" applyBorder="1" applyAlignment="1">
      <alignment horizontal="right" vertical="center"/>
    </xf>
    <xf numFmtId="0" fontId="0" fillId="0" borderId="0" xfId="0" applyAlignment="1">
      <alignment wrapText="1"/>
    </xf>
    <xf numFmtId="2" fontId="115" fillId="0" borderId="181" xfId="0" applyNumberFormat="1" applyFont="1" applyBorder="1"/>
    <xf numFmtId="2" fontId="115" fillId="0" borderId="183" xfId="0" applyNumberFormat="1" applyFont="1" applyBorder="1"/>
    <xf numFmtId="2" fontId="115" fillId="0" borderId="215" xfId="0" applyNumberFormat="1" applyFont="1" applyBorder="1"/>
    <xf numFmtId="0" fontId="17" fillId="0" borderId="55" xfId="0" applyFont="1" applyBorder="1" applyAlignment="1">
      <alignment horizontal="center" vertical="center"/>
    </xf>
    <xf numFmtId="0" fontId="53" fillId="0" borderId="5" xfId="0" applyFont="1" applyBorder="1" applyAlignment="1">
      <alignment horizontal="right" vertical="center"/>
    </xf>
    <xf numFmtId="0" fontId="16" fillId="0" borderId="5" xfId="0" applyFont="1" applyBorder="1" applyAlignment="1">
      <alignment vertical="center"/>
    </xf>
    <xf numFmtId="0" fontId="16" fillId="0" borderId="2" xfId="0" applyFont="1" applyBorder="1" applyAlignment="1">
      <alignment horizontal="left" vertical="center"/>
    </xf>
    <xf numFmtId="0" fontId="16" fillId="0" borderId="75" xfId="0" applyFont="1" applyBorder="1" applyAlignment="1">
      <alignment vertical="center"/>
    </xf>
    <xf numFmtId="0" fontId="16" fillId="0" borderId="68" xfId="0" applyFont="1" applyBorder="1" applyAlignment="1">
      <alignment vertical="center"/>
    </xf>
    <xf numFmtId="0" fontId="16" fillId="0" borderId="69" xfId="0" applyFont="1" applyBorder="1" applyAlignment="1">
      <alignment vertical="center"/>
    </xf>
    <xf numFmtId="0" fontId="29" fillId="0" borderId="21" xfId="0" applyFont="1" applyBorder="1" applyAlignment="1">
      <alignment vertical="center"/>
    </xf>
    <xf numFmtId="0" fontId="16" fillId="0" borderId="54" xfId="0" applyFont="1" applyBorder="1" applyAlignment="1">
      <alignment vertical="center"/>
    </xf>
    <xf numFmtId="43" fontId="16" fillId="0" borderId="54" xfId="0" applyNumberFormat="1" applyFont="1" applyBorder="1" applyAlignment="1">
      <alignment vertical="center"/>
    </xf>
    <xf numFmtId="44" fontId="1" fillId="0" borderId="55" xfId="0" applyNumberFormat="1" applyFont="1" applyBorder="1" applyAlignment="1">
      <alignment vertical="center"/>
    </xf>
    <xf numFmtId="14" fontId="22" fillId="2" borderId="27" xfId="0" applyNumberFormat="1" applyFont="1" applyFill="1" applyBorder="1" applyProtection="1">
      <protection locked="0"/>
    </xf>
    <xf numFmtId="14" fontId="22" fillId="2" borderId="16" xfId="0" applyNumberFormat="1" applyFont="1" applyFill="1" applyBorder="1" applyProtection="1">
      <protection locked="0"/>
    </xf>
    <xf numFmtId="0" fontId="22" fillId="2" borderId="52" xfId="0" applyFont="1" applyFill="1" applyBorder="1" applyProtection="1">
      <protection locked="0"/>
    </xf>
    <xf numFmtId="0" fontId="22" fillId="2" borderId="28" xfId="0" applyFont="1" applyFill="1" applyBorder="1" applyProtection="1">
      <protection locked="0"/>
    </xf>
    <xf numFmtId="43" fontId="22" fillId="2" borderId="28" xfId="0" applyNumberFormat="1" applyFont="1" applyFill="1" applyBorder="1" applyProtection="1">
      <protection locked="0"/>
    </xf>
    <xf numFmtId="0" fontId="17" fillId="0" borderId="8" xfId="0" applyFont="1" applyBorder="1" applyAlignment="1">
      <alignment horizontal="right" vertical="center"/>
    </xf>
    <xf numFmtId="43" fontId="7" fillId="0" borderId="4" xfId="0" applyNumberFormat="1" applyFont="1" applyBorder="1" applyAlignment="1">
      <alignment horizontal="right" vertical="center"/>
    </xf>
    <xf numFmtId="0" fontId="0" fillId="0" borderId="2" xfId="0" applyBorder="1"/>
    <xf numFmtId="0" fontId="17" fillId="0" borderId="21" xfId="0" applyFont="1" applyBorder="1" applyAlignment="1">
      <alignment vertical="center"/>
    </xf>
    <xf numFmtId="170" fontId="16" fillId="0" borderId="55" xfId="0" applyNumberFormat="1" applyFont="1" applyBorder="1" applyAlignment="1">
      <alignment vertical="center"/>
    </xf>
    <xf numFmtId="43" fontId="22" fillId="2" borderId="219" xfId="0" applyNumberFormat="1" applyFont="1" applyFill="1" applyBorder="1" applyAlignment="1" applyProtection="1">
      <alignment vertical="center"/>
      <protection locked="0"/>
    </xf>
    <xf numFmtId="43" fontId="17" fillId="2" borderId="50" xfId="0" applyNumberFormat="1" applyFont="1" applyFill="1" applyBorder="1" applyAlignment="1">
      <alignment horizontal="right" vertical="center"/>
    </xf>
    <xf numFmtId="0" fontId="17" fillId="0" borderId="75" xfId="0" applyFont="1" applyBorder="1" applyAlignment="1">
      <alignment horizontal="right" vertical="center"/>
    </xf>
    <xf numFmtId="0" fontId="17" fillId="0" borderId="68" xfId="0" applyFont="1" applyBorder="1" applyAlignment="1">
      <alignment horizontal="right" vertical="center"/>
    </xf>
    <xf numFmtId="43" fontId="17" fillId="0" borderId="68" xfId="0" applyNumberFormat="1" applyFont="1" applyBorder="1" applyAlignment="1">
      <alignment horizontal="right" vertical="center"/>
    </xf>
    <xf numFmtId="0" fontId="17" fillId="0" borderId="9" xfId="0" applyFont="1" applyBorder="1" applyAlignment="1">
      <alignment horizontal="right" vertical="center"/>
    </xf>
    <xf numFmtId="0" fontId="17" fillId="0" borderId="10" xfId="0" applyFont="1" applyBorder="1" applyAlignment="1">
      <alignment horizontal="right" vertical="center"/>
    </xf>
    <xf numFmtId="0" fontId="17" fillId="0" borderId="23" xfId="0" applyFont="1" applyBorder="1" applyAlignment="1">
      <alignment vertical="center"/>
    </xf>
    <xf numFmtId="44" fontId="1" fillId="0" borderId="39" xfId="0" applyNumberFormat="1" applyFont="1" applyBorder="1" applyAlignment="1">
      <alignment vertical="center"/>
    </xf>
    <xf numFmtId="44" fontId="7" fillId="0" borderId="113" xfId="0" applyNumberFormat="1" applyFont="1" applyBorder="1" applyAlignment="1">
      <alignment vertical="center"/>
    </xf>
    <xf numFmtId="44" fontId="116" fillId="3" borderId="117" xfId="1" applyFont="1" applyFill="1" applyBorder="1" applyAlignment="1">
      <alignment vertical="center"/>
    </xf>
    <xf numFmtId="44" fontId="116" fillId="3" borderId="26" xfId="1" applyFont="1" applyFill="1" applyBorder="1" applyAlignment="1">
      <alignment vertical="center"/>
    </xf>
    <xf numFmtId="44" fontId="1" fillId="0" borderId="69" xfId="1" applyFont="1" applyBorder="1" applyAlignment="1">
      <alignment vertical="center"/>
    </xf>
    <xf numFmtId="44" fontId="24" fillId="3" borderId="26" xfId="1" applyFont="1" applyFill="1" applyBorder="1" applyAlignment="1">
      <alignment vertical="center"/>
    </xf>
    <xf numFmtId="183" fontId="34" fillId="0" borderId="10" xfId="0" applyNumberFormat="1" applyFont="1" applyBorder="1" applyAlignment="1">
      <alignment horizontal="left" vertical="center"/>
    </xf>
    <xf numFmtId="183" fontId="42" fillId="0" borderId="4" xfId="0" applyNumberFormat="1" applyFont="1" applyBorder="1" applyAlignment="1">
      <alignment horizontal="left" vertical="center"/>
    </xf>
    <xf numFmtId="0" fontId="0" fillId="0" borderId="38" xfId="0" applyBorder="1" applyAlignment="1">
      <alignment horizontal="center" vertical="center" wrapText="1"/>
    </xf>
    <xf numFmtId="0" fontId="14" fillId="0" borderId="4" xfId="0" applyFont="1" applyBorder="1" applyAlignment="1">
      <alignment horizontal="right" vertical="center"/>
    </xf>
    <xf numFmtId="14" fontId="20" fillId="2" borderId="27" xfId="0" applyNumberFormat="1" applyFont="1" applyFill="1" applyBorder="1" applyProtection="1">
      <protection locked="0"/>
    </xf>
    <xf numFmtId="14" fontId="20" fillId="2" borderId="29" xfId="0" applyNumberFormat="1" applyFont="1" applyFill="1" applyBorder="1" applyProtection="1">
      <protection locked="0"/>
    </xf>
    <xf numFmtId="0" fontId="20" fillId="2" borderId="28" xfId="0" applyFont="1" applyFill="1" applyBorder="1" applyProtection="1">
      <protection locked="0"/>
    </xf>
    <xf numFmtId="0" fontId="20" fillId="2" borderId="17" xfId="0" applyFont="1" applyFill="1" applyBorder="1" applyProtection="1">
      <protection locked="0"/>
    </xf>
    <xf numFmtId="0" fontId="20" fillId="2" borderId="29" xfId="0" applyFont="1" applyFill="1" applyBorder="1" applyProtection="1">
      <protection locked="0"/>
    </xf>
    <xf numFmtId="0" fontId="20" fillId="2" borderId="41" xfId="0" applyFont="1" applyFill="1" applyBorder="1" applyAlignment="1" applyProtection="1">
      <alignment vertical="center"/>
      <protection locked="0"/>
    </xf>
    <xf numFmtId="0" fontId="20" fillId="2" borderId="0" xfId="0" applyFont="1" applyFill="1" applyBorder="1" applyAlignment="1" applyProtection="1">
      <alignment vertical="center"/>
      <protection locked="0"/>
    </xf>
    <xf numFmtId="9" fontId="20" fillId="2" borderId="44" xfId="16" applyFont="1" applyFill="1" applyBorder="1" applyAlignment="1" applyProtection="1">
      <alignment vertical="center"/>
      <protection locked="0"/>
    </xf>
    <xf numFmtId="14" fontId="20" fillId="2" borderId="41" xfId="0" applyNumberFormat="1" applyFont="1" applyFill="1" applyBorder="1" applyProtection="1">
      <protection locked="0"/>
    </xf>
    <xf numFmtId="14" fontId="20" fillId="2" borderId="0" xfId="0" applyNumberFormat="1" applyFont="1" applyFill="1" applyBorder="1" applyProtection="1">
      <protection locked="0"/>
    </xf>
    <xf numFmtId="0" fontId="20" fillId="2" borderId="42" xfId="0" applyFont="1" applyFill="1" applyBorder="1" applyProtection="1">
      <protection locked="0"/>
    </xf>
    <xf numFmtId="0" fontId="20" fillId="2" borderId="43" xfId="0" applyFont="1" applyFill="1" applyBorder="1" applyProtection="1">
      <protection locked="0"/>
    </xf>
    <xf numFmtId="186" fontId="20" fillId="2" borderId="44" xfId="0" applyNumberFormat="1" applyFont="1" applyFill="1" applyBorder="1" applyProtection="1">
      <protection locked="0"/>
    </xf>
    <xf numFmtId="0" fontId="20" fillId="2" borderId="44" xfId="0" applyFont="1" applyFill="1" applyBorder="1" applyProtection="1">
      <protection locked="0"/>
    </xf>
    <xf numFmtId="43" fontId="20" fillId="2" borderId="44" xfId="1" applyNumberFormat="1" applyFont="1" applyFill="1" applyBorder="1" applyProtection="1">
      <protection locked="0"/>
    </xf>
    <xf numFmtId="186" fontId="20" fillId="2" borderId="31" xfId="0" applyNumberFormat="1" applyFont="1" applyFill="1" applyBorder="1" applyAlignment="1" applyProtection="1">
      <alignment vertical="center"/>
      <protection locked="0"/>
    </xf>
    <xf numFmtId="0" fontId="20" fillId="2" borderId="220" xfId="0" applyFont="1" applyFill="1" applyBorder="1" applyAlignment="1" applyProtection="1">
      <alignment vertical="center"/>
      <protection locked="0"/>
    </xf>
    <xf numFmtId="0" fontId="20" fillId="2" borderId="101" xfId="0" applyFont="1" applyFill="1" applyBorder="1" applyAlignment="1" applyProtection="1">
      <alignment vertical="center"/>
      <protection locked="0"/>
    </xf>
    <xf numFmtId="0" fontId="20" fillId="2" borderId="221" xfId="0" applyFont="1" applyFill="1" applyBorder="1" applyAlignment="1" applyProtection="1">
      <alignment vertical="center"/>
      <protection locked="0"/>
    </xf>
    <xf numFmtId="0" fontId="20" fillId="2" borderId="222" xfId="0" applyFont="1" applyFill="1" applyBorder="1" applyAlignment="1" applyProtection="1">
      <alignment vertical="center"/>
      <protection locked="0"/>
    </xf>
    <xf numFmtId="186" fontId="20" fillId="2" borderId="219" xfId="0" applyNumberFormat="1" applyFont="1" applyFill="1" applyBorder="1" applyAlignment="1" applyProtection="1">
      <alignment vertical="center"/>
      <protection locked="0"/>
    </xf>
    <xf numFmtId="0" fontId="20" fillId="2" borderId="219" xfId="0" applyFont="1" applyFill="1" applyBorder="1" applyAlignment="1" applyProtection="1">
      <alignment vertical="center"/>
      <protection locked="0"/>
    </xf>
    <xf numFmtId="0" fontId="7" fillId="0" borderId="16" xfId="0" applyFont="1" applyBorder="1" applyAlignment="1">
      <alignment horizontal="left" vertical="center"/>
    </xf>
    <xf numFmtId="0" fontId="17" fillId="0" borderId="37" xfId="0" applyFont="1" applyBorder="1" applyAlignment="1">
      <alignment horizontal="center" vertical="center"/>
    </xf>
    <xf numFmtId="0" fontId="0" fillId="0" borderId="38" xfId="0" applyBorder="1" applyAlignment="1">
      <alignment horizontal="center" vertical="center"/>
    </xf>
    <xf numFmtId="0" fontId="5" fillId="2" borderId="43" xfId="0" applyFont="1" applyFill="1" applyBorder="1" applyAlignment="1" applyProtection="1">
      <alignment vertical="center"/>
    </xf>
    <xf numFmtId="0" fontId="20" fillId="0" borderId="16" xfId="0" applyFont="1" applyBorder="1" applyAlignment="1" applyProtection="1">
      <alignment vertical="center"/>
      <protection locked="0"/>
    </xf>
    <xf numFmtId="0" fontId="7" fillId="0" borderId="223" xfId="0" applyFont="1" applyBorder="1" applyAlignment="1">
      <alignment horizontal="right" vertical="center"/>
    </xf>
    <xf numFmtId="0" fontId="7" fillId="0" borderId="224" xfId="0" applyFont="1" applyBorder="1" applyAlignment="1">
      <alignment horizontal="right" vertical="center"/>
    </xf>
    <xf numFmtId="0" fontId="7" fillId="0" borderId="186" xfId="0" applyFont="1" applyBorder="1" applyAlignment="1">
      <alignment horizontal="right" vertical="center"/>
    </xf>
    <xf numFmtId="0" fontId="7" fillId="0" borderId="6" xfId="0" applyFont="1" applyBorder="1" applyAlignment="1">
      <alignment horizontal="right" vertical="center"/>
    </xf>
    <xf numFmtId="0" fontId="7" fillId="0" borderId="170" xfId="0" applyFont="1" applyBorder="1" applyAlignment="1">
      <alignment horizontal="right" vertical="center"/>
    </xf>
    <xf numFmtId="44" fontId="7" fillId="0" borderId="22" xfId="0" applyNumberFormat="1" applyFont="1" applyBorder="1" applyAlignment="1">
      <alignment vertical="center"/>
    </xf>
    <xf numFmtId="44" fontId="52" fillId="3" borderId="121" xfId="1" applyFont="1" applyFill="1" applyBorder="1" applyAlignment="1">
      <alignment vertical="center"/>
    </xf>
    <xf numFmtId="44" fontId="1" fillId="0" borderId="53" xfId="1" applyFont="1" applyFill="1" applyBorder="1" applyAlignment="1">
      <alignment vertical="center"/>
    </xf>
    <xf numFmtId="44" fontId="1" fillId="0" borderId="48" xfId="1" applyFont="1" applyFill="1" applyBorder="1" applyAlignment="1">
      <alignment vertical="center"/>
    </xf>
    <xf numFmtId="44" fontId="1" fillId="0" borderId="3" xfId="1" applyFont="1" applyFill="1" applyBorder="1" applyAlignment="1">
      <alignment vertical="center"/>
    </xf>
    <xf numFmtId="44" fontId="52" fillId="12" borderId="121" xfId="1" applyFont="1" applyFill="1" applyBorder="1" applyAlignment="1">
      <alignment vertical="center"/>
    </xf>
    <xf numFmtId="44" fontId="5" fillId="0" borderId="119" xfId="1" applyFont="1" applyBorder="1" applyAlignment="1" applyProtection="1">
      <alignment vertical="center"/>
    </xf>
    <xf numFmtId="44" fontId="5" fillId="0" borderId="48" xfId="1" applyFont="1" applyBorder="1" applyAlignment="1" applyProtection="1">
      <alignment vertical="center"/>
    </xf>
    <xf numFmtId="44" fontId="5" fillId="0" borderId="51" xfId="1" applyFont="1" applyBorder="1" applyAlignment="1" applyProtection="1">
      <alignment vertical="center"/>
    </xf>
    <xf numFmtId="44" fontId="7" fillId="0" borderId="115" xfId="1" applyFont="1" applyBorder="1" applyAlignment="1" applyProtection="1">
      <alignment vertical="center"/>
    </xf>
    <xf numFmtId="44" fontId="52" fillId="0" borderId="5" xfId="1" applyFont="1" applyFill="1" applyBorder="1" applyAlignment="1">
      <alignment vertical="center"/>
    </xf>
    <xf numFmtId="44" fontId="5" fillId="0" borderId="53" xfId="1" applyFont="1" applyBorder="1" applyAlignment="1" applyProtection="1">
      <alignment vertical="center"/>
    </xf>
    <xf numFmtId="183" fontId="17" fillId="2" borderId="12" xfId="0" applyNumberFormat="1" applyFont="1" applyFill="1" applyBorder="1" applyAlignment="1" applyProtection="1">
      <alignment horizontal="left" vertical="center"/>
      <protection locked="0"/>
    </xf>
    <xf numFmtId="173" fontId="17" fillId="2" borderId="12" xfId="0" applyNumberFormat="1" applyFont="1" applyFill="1" applyBorder="1" applyAlignment="1" applyProtection="1">
      <alignment horizontal="center" vertical="center"/>
      <protection locked="0"/>
    </xf>
    <xf numFmtId="0" fontId="1" fillId="0" borderId="2" xfId="0" applyFont="1" applyBorder="1" applyAlignment="1">
      <alignment horizontal="left" vertical="center"/>
    </xf>
    <xf numFmtId="167" fontId="5" fillId="0" borderId="14" xfId="0" applyNumberFormat="1" applyFont="1" applyFill="1" applyBorder="1" applyAlignment="1" applyProtection="1">
      <alignment vertical="center"/>
    </xf>
    <xf numFmtId="44" fontId="25" fillId="0" borderId="97" xfId="0" applyNumberFormat="1" applyFont="1" applyFill="1" applyBorder="1" applyAlignment="1" applyProtection="1">
      <alignment vertical="center"/>
    </xf>
    <xf numFmtId="0" fontId="76" fillId="0" borderId="18" xfId="0" applyFont="1" applyBorder="1" applyAlignment="1">
      <alignment horizontal="left" vertical="center"/>
    </xf>
    <xf numFmtId="183" fontId="34" fillId="0" borderId="12" xfId="0" applyNumberFormat="1" applyFont="1" applyBorder="1" applyAlignment="1">
      <alignment horizontal="left" vertical="center"/>
    </xf>
    <xf numFmtId="178" fontId="34" fillId="0" borderId="12" xfId="0" applyNumberFormat="1" applyFont="1" applyBorder="1" applyAlignment="1">
      <alignment horizontal="left" vertical="center"/>
    </xf>
    <xf numFmtId="0" fontId="17" fillId="0" borderId="0" xfId="0" applyFont="1" applyAlignment="1">
      <alignment horizontal="right" vertical="center"/>
    </xf>
    <xf numFmtId="49" fontId="1" fillId="0" borderId="0" xfId="0" applyNumberFormat="1" applyFont="1" applyBorder="1" applyAlignment="1">
      <alignment horizontal="left" vertical="top" wrapText="1"/>
    </xf>
    <xf numFmtId="49" fontId="1" fillId="0" borderId="5" xfId="0" applyNumberFormat="1" applyFont="1" applyBorder="1" applyAlignment="1">
      <alignment horizontal="left" vertical="top" wrapText="1"/>
    </xf>
    <xf numFmtId="49" fontId="1" fillId="0" borderId="125" xfId="0" applyNumberFormat="1" applyFont="1" applyBorder="1" applyAlignment="1">
      <alignment horizontal="left" vertical="top" wrapText="1"/>
    </xf>
    <xf numFmtId="49" fontId="1" fillId="0" borderId="177" xfId="0" applyNumberFormat="1" applyFont="1" applyBorder="1" applyAlignment="1">
      <alignment horizontal="left" vertical="top" wrapText="1"/>
    </xf>
    <xf numFmtId="0" fontId="1" fillId="0" borderId="131" xfId="0" applyFont="1" applyBorder="1" applyAlignment="1"/>
    <xf numFmtId="0" fontId="1" fillId="0" borderId="178" xfId="0" applyFont="1" applyBorder="1" applyAlignment="1"/>
    <xf numFmtId="0" fontId="118" fillId="0" borderId="0" xfId="0" applyFont="1" applyAlignment="1">
      <alignment horizontal="center" vertical="center" wrapText="1"/>
    </xf>
    <xf numFmtId="4" fontId="1" fillId="0" borderId="12" xfId="0" applyNumberFormat="1" applyFont="1" applyBorder="1"/>
    <xf numFmtId="43" fontId="70" fillId="0" borderId="20" xfId="14" applyNumberFormat="1" applyFont="1" applyFill="1" applyBorder="1" applyAlignment="1" applyProtection="1">
      <alignment vertical="center"/>
    </xf>
    <xf numFmtId="44" fontId="0" fillId="0" borderId="0" xfId="0" applyNumberFormat="1"/>
    <xf numFmtId="43" fontId="0" fillId="0" borderId="0" xfId="0" applyNumberFormat="1"/>
    <xf numFmtId="4" fontId="5" fillId="12" borderId="78" xfId="0" applyNumberFormat="1" applyFont="1" applyFill="1" applyBorder="1" applyAlignment="1" applyProtection="1">
      <alignment vertical="center"/>
    </xf>
    <xf numFmtId="183" fontId="42" fillId="0" borderId="10" xfId="0" applyNumberFormat="1" applyFont="1" applyBorder="1" applyAlignment="1">
      <alignment horizontal="left" vertical="center"/>
    </xf>
    <xf numFmtId="178" fontId="42" fillId="0" borderId="4" xfId="0" applyNumberFormat="1" applyFont="1" applyBorder="1" applyAlignment="1">
      <alignment horizontal="left" vertical="center"/>
    </xf>
    <xf numFmtId="44" fontId="24" fillId="12" borderId="121" xfId="1" applyFont="1" applyFill="1" applyBorder="1" applyAlignment="1">
      <alignment vertical="center"/>
    </xf>
    <xf numFmtId="44" fontId="24" fillId="0" borderId="65" xfId="1" applyFont="1" applyFill="1" applyBorder="1" applyAlignment="1">
      <alignment vertical="center"/>
    </xf>
    <xf numFmtId="44" fontId="24" fillId="3" borderId="80" xfId="1" applyFont="1" applyFill="1" applyBorder="1" applyAlignment="1">
      <alignment vertical="center"/>
    </xf>
    <xf numFmtId="0" fontId="24" fillId="0" borderId="29" xfId="0" applyFont="1" applyBorder="1" applyAlignment="1">
      <alignment horizontal="right" vertical="center"/>
    </xf>
    <xf numFmtId="0" fontId="28" fillId="5" borderId="22" xfId="0" applyFont="1" applyFill="1" applyBorder="1" applyAlignment="1" applyProtection="1">
      <alignment horizontal="right" vertical="center"/>
    </xf>
    <xf numFmtId="0" fontId="17" fillId="0" borderId="68" xfId="0" applyFont="1" applyBorder="1" applyAlignment="1" applyProtection="1">
      <alignment horizontal="left" vertical="center"/>
    </xf>
    <xf numFmtId="0" fontId="17" fillId="0" borderId="54" xfId="0" applyFont="1" applyBorder="1" applyAlignment="1">
      <alignment horizontal="right" vertical="center"/>
    </xf>
    <xf numFmtId="170" fontId="7" fillId="0" borderId="106" xfId="0" applyNumberFormat="1" applyFont="1" applyBorder="1"/>
    <xf numFmtId="170" fontId="7" fillId="0" borderId="22" xfId="0" applyNumberFormat="1" applyFont="1" applyBorder="1"/>
    <xf numFmtId="0" fontId="14" fillId="0" borderId="186" xfId="0" applyFont="1" applyBorder="1" applyAlignment="1">
      <alignment vertical="center"/>
    </xf>
    <xf numFmtId="0" fontId="16" fillId="0" borderId="186" xfId="0" applyFont="1" applyBorder="1" applyAlignment="1">
      <alignment vertical="center"/>
    </xf>
    <xf numFmtId="0" fontId="17" fillId="0" borderId="194" xfId="0" applyFont="1" applyBorder="1" applyAlignment="1">
      <alignment horizontal="right" vertical="center"/>
    </xf>
    <xf numFmtId="0" fontId="1" fillId="0" borderId="186" xfId="0" applyFont="1" applyBorder="1" applyAlignment="1">
      <alignment vertical="center"/>
    </xf>
    <xf numFmtId="0" fontId="119" fillId="0" borderId="18" xfId="0" applyFont="1" applyBorder="1"/>
    <xf numFmtId="0" fontId="116" fillId="0" borderId="224" xfId="0" applyFont="1" applyBorder="1" applyAlignment="1">
      <alignment vertical="center"/>
    </xf>
    <xf numFmtId="43" fontId="5" fillId="0" borderId="79" xfId="0" applyNumberFormat="1" applyFont="1" applyFill="1" applyBorder="1" applyAlignment="1" applyProtection="1">
      <alignment horizontal="right" vertical="center"/>
    </xf>
    <xf numFmtId="43" fontId="5" fillId="0" borderId="38" xfId="0" applyNumberFormat="1" applyFont="1" applyFill="1" applyBorder="1" applyAlignment="1" applyProtection="1">
      <alignment horizontal="right" vertical="center"/>
    </xf>
    <xf numFmtId="0" fontId="72" fillId="0" borderId="12" xfId="0" applyFont="1" applyFill="1" applyBorder="1" applyAlignment="1" applyProtection="1">
      <alignment horizontal="center" vertical="center" wrapText="1"/>
    </xf>
    <xf numFmtId="43" fontId="5" fillId="0" borderId="12" xfId="0" applyNumberFormat="1" applyFont="1" applyFill="1" applyBorder="1" applyAlignment="1" applyProtection="1">
      <alignment horizontal="right" vertical="center"/>
    </xf>
    <xf numFmtId="0" fontId="72" fillId="0" borderId="79" xfId="0" applyFont="1" applyFill="1" applyBorder="1" applyAlignment="1" applyProtection="1">
      <alignment horizontal="center" vertical="center" wrapText="1"/>
    </xf>
    <xf numFmtId="43" fontId="20" fillId="2" borderId="78" xfId="0" applyNumberFormat="1" applyFont="1" applyFill="1" applyBorder="1" applyAlignment="1" applyProtection="1">
      <alignment vertical="center"/>
      <protection locked="0"/>
    </xf>
    <xf numFmtId="43" fontId="20" fillId="2" borderId="104" xfId="0" applyNumberFormat="1" applyFont="1" applyFill="1" applyBorder="1" applyAlignment="1" applyProtection="1">
      <alignment vertical="center"/>
      <protection locked="0"/>
    </xf>
    <xf numFmtId="0" fontId="14" fillId="0" borderId="0" xfId="0" applyFont="1" applyBorder="1" applyAlignment="1">
      <alignment horizontal="right" vertical="center"/>
    </xf>
    <xf numFmtId="0" fontId="20" fillId="2" borderId="40" xfId="0" applyFont="1" applyFill="1" applyBorder="1" applyAlignment="1" applyProtection="1">
      <alignment vertical="center"/>
      <protection locked="0"/>
    </xf>
    <xf numFmtId="0" fontId="15" fillId="0" borderId="2" xfId="0" applyFont="1" applyBorder="1" applyAlignment="1">
      <alignment horizontal="right" vertical="center"/>
    </xf>
    <xf numFmtId="178" fontId="42" fillId="0" borderId="12" xfId="0" applyNumberFormat="1" applyFont="1" applyBorder="1" applyAlignment="1">
      <alignment horizontal="left" vertical="center"/>
    </xf>
    <xf numFmtId="0" fontId="20" fillId="2" borderId="175" xfId="0" applyFont="1" applyFill="1" applyBorder="1" applyAlignment="1" applyProtection="1">
      <alignment vertical="center"/>
      <protection locked="0"/>
    </xf>
    <xf numFmtId="0" fontId="14" fillId="0" borderId="37" xfId="0" applyFont="1" applyBorder="1" applyAlignment="1">
      <alignment horizontal="center" vertical="center" wrapText="1"/>
    </xf>
    <xf numFmtId="0" fontId="14" fillId="0" borderId="12" xfId="0" applyFont="1" applyBorder="1" applyAlignment="1">
      <alignment horizontal="center" vertical="center" wrapText="1"/>
    </xf>
    <xf numFmtId="170" fontId="14" fillId="0" borderId="26" xfId="0" applyNumberFormat="1" applyFont="1" applyBorder="1" applyAlignment="1">
      <alignment horizontal="center" vertical="center" wrapText="1"/>
    </xf>
    <xf numFmtId="14" fontId="20" fillId="2" borderId="176" xfId="0" applyNumberFormat="1" applyFont="1" applyFill="1" applyBorder="1" applyAlignment="1" applyProtection="1">
      <alignment vertical="center"/>
      <protection locked="0"/>
    </xf>
    <xf numFmtId="0" fontId="7" fillId="0" borderId="224" xfId="0" applyFont="1" applyBorder="1" applyAlignment="1">
      <alignment vertical="center"/>
    </xf>
    <xf numFmtId="0" fontId="7" fillId="0" borderId="186" xfId="0" applyFont="1" applyBorder="1" applyAlignment="1">
      <alignment vertical="center"/>
    </xf>
    <xf numFmtId="170" fontId="14" fillId="0" borderId="225" xfId="0" applyNumberFormat="1" applyFont="1" applyBorder="1" applyAlignment="1">
      <alignment vertical="center"/>
    </xf>
    <xf numFmtId="170" fontId="14" fillId="0" borderId="5" xfId="0" applyNumberFormat="1" applyFont="1" applyBorder="1" applyAlignment="1">
      <alignment vertical="center"/>
    </xf>
    <xf numFmtId="170" fontId="14" fillId="0" borderId="22" xfId="0" applyNumberFormat="1" applyFont="1" applyBorder="1" applyAlignment="1">
      <alignment vertical="center"/>
    </xf>
    <xf numFmtId="178" fontId="0" fillId="0" borderId="5" xfId="0" applyNumberFormat="1" applyBorder="1" applyAlignment="1">
      <alignment horizontal="left" vertical="center"/>
    </xf>
    <xf numFmtId="0" fontId="0" fillId="0" borderId="69" xfId="0" applyBorder="1"/>
    <xf numFmtId="0" fontId="118" fillId="0" borderId="12" xfId="0" applyFont="1" applyBorder="1" applyAlignment="1">
      <alignment horizontal="center" wrapText="1"/>
    </xf>
    <xf numFmtId="49" fontId="6" fillId="10" borderId="75" xfId="0" applyNumberFormat="1" applyFont="1" applyFill="1" applyBorder="1" applyAlignment="1" applyProtection="1">
      <alignment horizontal="center" vertical="center"/>
    </xf>
    <xf numFmtId="0" fontId="1" fillId="10" borderId="68" xfId="0" applyFont="1" applyFill="1" applyBorder="1" applyAlignment="1" applyProtection="1">
      <alignment vertical="center"/>
    </xf>
    <xf numFmtId="0" fontId="1" fillId="10" borderId="69" xfId="0" applyFont="1" applyFill="1" applyBorder="1" applyAlignment="1" applyProtection="1">
      <alignment vertical="center"/>
    </xf>
    <xf numFmtId="49" fontId="6" fillId="0" borderId="75" xfId="0" applyNumberFormat="1" applyFont="1" applyFill="1" applyBorder="1" applyAlignment="1" applyProtection="1">
      <alignment horizontal="left" vertical="center"/>
    </xf>
    <xf numFmtId="0" fontId="1" fillId="0" borderId="0" xfId="0" applyFont="1" applyBorder="1" applyAlignment="1" applyProtection="1">
      <alignment vertical="center"/>
    </xf>
    <xf numFmtId="0" fontId="1" fillId="0" borderId="5" xfId="0" applyFont="1" applyBorder="1" applyAlignment="1" applyProtection="1">
      <alignment vertical="center"/>
    </xf>
    <xf numFmtId="43" fontId="1" fillId="0" borderId="12" xfId="0" applyNumberFormat="1" applyFont="1" applyBorder="1"/>
    <xf numFmtId="43" fontId="1" fillId="12" borderId="0" xfId="0" applyNumberFormat="1" applyFont="1" applyFill="1"/>
    <xf numFmtId="43" fontId="1" fillId="0" borderId="0" xfId="0" applyNumberFormat="1" applyFont="1"/>
    <xf numFmtId="44" fontId="1" fillId="0" borderId="0" xfId="0" applyNumberFormat="1" applyFont="1"/>
    <xf numFmtId="44" fontId="7" fillId="0" borderId="102" xfId="1" applyFont="1" applyFill="1" applyBorder="1" applyAlignment="1">
      <alignment vertical="center"/>
    </xf>
    <xf numFmtId="170" fontId="14" fillId="0" borderId="0" xfId="0" applyNumberFormat="1" applyFont="1"/>
    <xf numFmtId="44" fontId="1" fillId="0" borderId="182" xfId="0" applyNumberFormat="1" applyFont="1" applyBorder="1"/>
    <xf numFmtId="44" fontId="1" fillId="0" borderId="0" xfId="0" applyNumberFormat="1" applyFont="1" applyBorder="1"/>
    <xf numFmtId="44" fontId="1" fillId="0" borderId="183" xfId="0" applyNumberFormat="1" applyFont="1" applyBorder="1"/>
    <xf numFmtId="44" fontId="1" fillId="0" borderId="44" xfId="0" applyNumberFormat="1" applyFont="1" applyBorder="1"/>
    <xf numFmtId="44" fontId="1" fillId="0" borderId="184" xfId="0" applyNumberFormat="1" applyFont="1" applyBorder="1"/>
    <xf numFmtId="44" fontId="7" fillId="0" borderId="185" xfId="0" applyNumberFormat="1" applyFont="1" applyBorder="1"/>
    <xf numFmtId="44" fontId="7" fillId="0" borderId="123" xfId="0" applyNumberFormat="1" applyFont="1" applyBorder="1"/>
    <xf numFmtId="44" fontId="1" fillId="0" borderId="186" xfId="0" applyNumberFormat="1" applyFont="1" applyBorder="1"/>
    <xf numFmtId="44" fontId="7" fillId="0" borderId="17" xfId="0" applyNumberFormat="1" applyFont="1" applyBorder="1" applyAlignment="1">
      <alignment vertical="center" wrapText="1"/>
    </xf>
    <xf numFmtId="44" fontId="7" fillId="0" borderId="42" xfId="0" applyNumberFormat="1" applyFont="1" applyBorder="1" applyAlignment="1">
      <alignment vertical="center" wrapText="1"/>
    </xf>
    <xf numFmtId="44" fontId="1" fillId="0" borderId="42" xfId="0" applyNumberFormat="1" applyFont="1" applyBorder="1"/>
    <xf numFmtId="44" fontId="7" fillId="0" borderId="185" xfId="0" applyNumberFormat="1" applyFont="1" applyBorder="1" applyAlignment="1">
      <alignment vertical="center"/>
    </xf>
    <xf numFmtId="44" fontId="1" fillId="0" borderId="43" xfId="0" applyNumberFormat="1" applyFont="1" applyBorder="1"/>
    <xf numFmtId="44" fontId="1" fillId="0" borderId="185" xfId="0" applyNumberFormat="1" applyFont="1" applyBorder="1"/>
    <xf numFmtId="44" fontId="1" fillId="0" borderId="138" xfId="0" applyNumberFormat="1" applyFont="1" applyBorder="1" applyAlignment="1"/>
    <xf numFmtId="44" fontId="1" fillId="0" borderId="12" xfId="0" applyNumberFormat="1" applyFont="1" applyBorder="1"/>
    <xf numFmtId="44" fontId="1" fillId="0" borderId="185" xfId="0" applyNumberFormat="1" applyFont="1" applyBorder="1" applyAlignment="1"/>
    <xf numFmtId="49" fontId="17" fillId="2" borderId="35" xfId="0" applyNumberFormat="1" applyFont="1" applyFill="1" applyBorder="1" applyAlignment="1" applyProtection="1">
      <alignment vertical="center"/>
      <protection locked="0"/>
    </xf>
    <xf numFmtId="173" fontId="29" fillId="2" borderId="12" xfId="0" applyNumberFormat="1" applyFont="1" applyFill="1" applyBorder="1" applyAlignment="1" applyProtection="1">
      <alignment horizontal="center" vertical="center"/>
    </xf>
    <xf numFmtId="0" fontId="14" fillId="0" borderId="9" xfId="0" applyFont="1" applyBorder="1" applyAlignment="1">
      <alignment vertical="center"/>
    </xf>
    <xf numFmtId="0" fontId="1" fillId="0" borderId="0" xfId="0" applyFont="1" applyFill="1" applyBorder="1" applyAlignment="1">
      <alignment horizontal="left"/>
    </xf>
    <xf numFmtId="0" fontId="1" fillId="0" borderId="43" xfId="0" applyFont="1" applyFill="1" applyBorder="1" applyAlignment="1">
      <alignment horizontal="left"/>
    </xf>
    <xf numFmtId="0" fontId="7" fillId="0" borderId="0" xfId="0" applyFont="1" applyBorder="1" applyAlignment="1">
      <alignment horizontal="center"/>
    </xf>
    <xf numFmtId="0" fontId="1" fillId="0" borderId="0" xfId="0" applyFont="1" applyBorder="1" applyAlignment="1"/>
    <xf numFmtId="49" fontId="1" fillId="0" borderId="5" xfId="0" applyNumberFormat="1" applyFont="1" applyBorder="1"/>
    <xf numFmtId="171" fontId="16" fillId="14" borderId="121" xfId="0" applyNumberFormat="1" applyFont="1" applyFill="1" applyBorder="1" applyAlignment="1" applyProtection="1">
      <alignment vertical="center"/>
    </xf>
    <xf numFmtId="0" fontId="17" fillId="13" borderId="106" xfId="0" applyFont="1" applyFill="1" applyBorder="1" applyAlignment="1" applyProtection="1">
      <alignment horizontal="center" vertical="center" wrapText="1"/>
    </xf>
    <xf numFmtId="0" fontId="7" fillId="0" borderId="0" xfId="0" applyFont="1" applyAlignment="1">
      <alignment horizontal="right"/>
    </xf>
    <xf numFmtId="2" fontId="20" fillId="0" borderId="181" xfId="0" applyNumberFormat="1" applyFont="1" applyFill="1" applyBorder="1" applyAlignment="1" applyProtection="1">
      <alignment vertical="center"/>
    </xf>
    <xf numFmtId="2" fontId="20" fillId="0" borderId="46" xfId="0" applyNumberFormat="1" applyFont="1" applyFill="1" applyBorder="1" applyAlignment="1" applyProtection="1">
      <alignment vertical="center"/>
    </xf>
    <xf numFmtId="2" fontId="20" fillId="0" borderId="31" xfId="0" applyNumberFormat="1" applyFont="1" applyFill="1" applyBorder="1" applyAlignment="1" applyProtection="1">
      <alignment vertical="center"/>
    </xf>
    <xf numFmtId="44" fontId="20" fillId="2" borderId="28" xfId="1" applyFont="1" applyFill="1" applyBorder="1" applyAlignment="1" applyProtection="1">
      <alignment vertical="center"/>
      <protection locked="0"/>
    </xf>
    <xf numFmtId="44" fontId="20" fillId="2" borderId="31" xfId="1" applyFont="1" applyFill="1" applyBorder="1" applyAlignment="1" applyProtection="1">
      <alignment vertical="center"/>
      <protection locked="0"/>
    </xf>
    <xf numFmtId="44" fontId="20" fillId="2" borderId="6" xfId="1" applyFont="1" applyFill="1" applyBorder="1" applyAlignment="1" applyProtection="1">
      <alignment vertical="center"/>
      <protection locked="0"/>
    </xf>
    <xf numFmtId="44" fontId="1" fillId="0" borderId="5" xfId="1" applyFont="1" applyBorder="1" applyAlignment="1">
      <alignment vertical="center"/>
    </xf>
    <xf numFmtId="44" fontId="114" fillId="0" borderId="121" xfId="1" applyFont="1" applyBorder="1"/>
    <xf numFmtId="44" fontId="20" fillId="2" borderId="44" xfId="1" applyFont="1" applyFill="1" applyBorder="1" applyAlignment="1" applyProtection="1">
      <alignment vertical="center"/>
      <protection locked="0"/>
    </xf>
    <xf numFmtId="44" fontId="1" fillId="0" borderId="114" xfId="1" applyFont="1" applyBorder="1" applyAlignment="1">
      <alignment vertical="center"/>
    </xf>
    <xf numFmtId="44" fontId="7" fillId="0" borderId="29" xfId="1" applyFont="1" applyBorder="1" applyAlignment="1">
      <alignment horizontal="right" vertical="center"/>
    </xf>
    <xf numFmtId="44" fontId="7" fillId="0" borderId="4" xfId="1" applyFont="1" applyBorder="1" applyAlignment="1">
      <alignment horizontal="right" vertical="center"/>
    </xf>
    <xf numFmtId="44" fontId="20" fillId="2" borderId="47" xfId="1" applyFont="1" applyFill="1" applyBorder="1" applyAlignment="1" applyProtection="1">
      <alignment vertical="center"/>
      <protection locked="0"/>
    </xf>
    <xf numFmtId="44" fontId="20" fillId="2" borderId="51" xfId="1" applyFont="1" applyFill="1" applyBorder="1" applyAlignment="1" applyProtection="1">
      <alignment vertical="center"/>
      <protection locked="0"/>
    </xf>
    <xf numFmtId="44" fontId="24" fillId="0" borderId="120" xfId="1" applyFont="1" applyBorder="1" applyAlignment="1">
      <alignment vertical="center"/>
    </xf>
    <xf numFmtId="44" fontId="7" fillId="0" borderId="3" xfId="1" applyFont="1" applyBorder="1" applyAlignment="1">
      <alignment vertical="center"/>
    </xf>
    <xf numFmtId="49" fontId="17" fillId="2" borderId="35" xfId="0" applyNumberFormat="1" applyFont="1" applyFill="1" applyBorder="1" applyAlignment="1" applyProtection="1">
      <alignment vertical="center"/>
      <protection locked="0"/>
    </xf>
    <xf numFmtId="49" fontId="17" fillId="2" borderId="10" xfId="0" applyNumberFormat="1" applyFont="1" applyFill="1" applyBorder="1" applyAlignment="1" applyProtection="1">
      <alignment vertical="center"/>
      <protection locked="0"/>
    </xf>
    <xf numFmtId="49" fontId="17" fillId="2" borderId="74" xfId="0" applyNumberFormat="1" applyFont="1" applyFill="1" applyBorder="1" applyAlignment="1" applyProtection="1">
      <alignment vertical="center"/>
      <protection locked="0"/>
    </xf>
    <xf numFmtId="49" fontId="17" fillId="2" borderId="71" xfId="0" applyNumberFormat="1" applyFont="1" applyFill="1" applyBorder="1" applyAlignment="1" applyProtection="1">
      <alignment vertical="center"/>
      <protection locked="0"/>
    </xf>
    <xf numFmtId="0" fontId="0" fillId="0" borderId="1" xfId="0" applyBorder="1" applyAlignment="1" applyProtection="1">
      <alignment vertical="center"/>
      <protection locked="0"/>
    </xf>
    <xf numFmtId="0" fontId="0" fillId="0" borderId="141" xfId="0" applyBorder="1" applyAlignment="1" applyProtection="1">
      <alignment vertical="center"/>
      <protection locked="0"/>
    </xf>
    <xf numFmtId="0" fontId="9" fillId="0" borderId="79" xfId="0" applyFont="1" applyFill="1" applyBorder="1" applyAlignment="1">
      <alignment vertical="top" wrapText="1"/>
    </xf>
    <xf numFmtId="0" fontId="0" fillId="0" borderId="37" xfId="0" applyBorder="1" applyAlignment="1">
      <alignment vertical="top" wrapText="1"/>
    </xf>
    <xf numFmtId="0" fontId="16" fillId="0" borderId="159" xfId="0" applyFont="1" applyFill="1" applyBorder="1" applyAlignment="1" applyProtection="1">
      <alignment horizontal="right" vertical="center" wrapText="1"/>
    </xf>
    <xf numFmtId="0" fontId="16" fillId="0" borderId="138" xfId="0" applyFont="1" applyBorder="1" applyAlignment="1" applyProtection="1">
      <alignment horizontal="right" vertical="center"/>
    </xf>
    <xf numFmtId="170" fontId="17" fillId="0" borderId="157" xfId="0" applyNumberFormat="1" applyFont="1" applyFill="1" applyBorder="1" applyAlignment="1" applyProtection="1">
      <alignment horizontal="right" vertical="center" wrapText="1"/>
    </xf>
    <xf numFmtId="170" fontId="15" fillId="0" borderId="158" xfId="0" applyNumberFormat="1" applyFont="1" applyBorder="1" applyAlignment="1" applyProtection="1">
      <alignment horizontal="right" vertical="center" wrapText="1"/>
    </xf>
    <xf numFmtId="170" fontId="17" fillId="6" borderId="160" xfId="0" applyNumberFormat="1" applyFont="1" applyFill="1" applyBorder="1" applyAlignment="1" applyProtection="1">
      <alignment horizontal="right" vertical="center" wrapText="1"/>
    </xf>
    <xf numFmtId="170" fontId="14" fillId="6" borderId="145" xfId="0" applyNumberFormat="1" applyFont="1" applyFill="1" applyBorder="1" applyAlignment="1" applyProtection="1">
      <alignment horizontal="right" vertical="center"/>
    </xf>
    <xf numFmtId="0" fontId="26" fillId="0" borderId="63" xfId="0" applyFont="1" applyFill="1" applyBorder="1" applyAlignment="1" applyProtection="1">
      <alignment horizontal="left" vertical="center" wrapText="1"/>
    </xf>
    <xf numFmtId="0" fontId="65" fillId="0" borderId="77" xfId="0" applyFont="1" applyBorder="1" applyAlignment="1" applyProtection="1">
      <alignment horizontal="left" vertical="center"/>
    </xf>
    <xf numFmtId="0" fontId="65" fillId="0" borderId="77" xfId="0" applyFont="1" applyBorder="1" applyAlignment="1" applyProtection="1">
      <alignment vertical="center"/>
    </xf>
    <xf numFmtId="170" fontId="17" fillId="0" borderId="75" xfId="0" applyNumberFormat="1" applyFont="1" applyFill="1" applyBorder="1" applyAlignment="1" applyProtection="1">
      <alignment horizontal="right" vertical="center" wrapText="1"/>
    </xf>
    <xf numFmtId="170" fontId="15" fillId="0" borderId="68" xfId="0" applyNumberFormat="1" applyFont="1" applyBorder="1" applyAlignment="1" applyProtection="1">
      <alignment horizontal="right" vertical="center" wrapText="1"/>
    </xf>
    <xf numFmtId="0" fontId="14" fillId="0" borderId="68" xfId="0" applyFont="1" applyBorder="1" applyAlignment="1" applyProtection="1">
      <alignment horizontal="right" vertical="center"/>
    </xf>
    <xf numFmtId="170" fontId="17" fillId="6" borderId="75" xfId="0" applyNumberFormat="1" applyFont="1" applyFill="1" applyBorder="1" applyAlignment="1" applyProtection="1">
      <alignment horizontal="right" vertical="center" wrapText="1"/>
    </xf>
    <xf numFmtId="170" fontId="14" fillId="6" borderId="68" xfId="0" applyNumberFormat="1" applyFont="1" applyFill="1" applyBorder="1" applyAlignment="1" applyProtection="1">
      <alignment horizontal="right" vertical="center" wrapText="1"/>
    </xf>
    <xf numFmtId="0" fontId="14" fillId="6" borderId="68" xfId="0" applyFont="1" applyFill="1" applyBorder="1" applyAlignment="1" applyProtection="1">
      <alignment horizontal="right" vertical="center"/>
    </xf>
    <xf numFmtId="0" fontId="16" fillId="0" borderId="56" xfId="0" applyFont="1" applyBorder="1" applyAlignment="1" applyProtection="1">
      <alignment horizontal="left" vertical="center" wrapText="1"/>
    </xf>
    <xf numFmtId="0" fontId="16" fillId="0" borderId="1" xfId="0" applyFont="1" applyBorder="1" applyAlignment="1" applyProtection="1">
      <alignment horizontal="left" vertical="center" wrapText="1"/>
    </xf>
    <xf numFmtId="0" fontId="16" fillId="0" borderId="57" xfId="0" applyFont="1" applyBorder="1" applyAlignment="1" applyProtection="1">
      <alignment horizontal="left" vertical="center" wrapText="1"/>
    </xf>
    <xf numFmtId="0" fontId="16" fillId="0" borderId="150" xfId="0" applyFont="1" applyFill="1" applyBorder="1" applyAlignment="1" applyProtection="1">
      <alignment horizontal="right" vertical="center" wrapText="1"/>
    </xf>
    <xf numFmtId="0" fontId="16" fillId="0" borderId="133" xfId="0" applyFont="1" applyFill="1" applyBorder="1" applyAlignment="1" applyProtection="1">
      <alignment horizontal="right" vertical="center" wrapText="1"/>
    </xf>
    <xf numFmtId="0" fontId="16" fillId="0" borderId="133" xfId="0" applyFont="1" applyBorder="1" applyAlignment="1" applyProtection="1">
      <alignment horizontal="right" vertical="center" wrapText="1"/>
    </xf>
    <xf numFmtId="0" fontId="16" fillId="0" borderId="161" xfId="0" applyFont="1" applyBorder="1" applyAlignment="1" applyProtection="1">
      <alignment horizontal="right" vertical="center" wrapText="1"/>
    </xf>
    <xf numFmtId="170" fontId="27" fillId="8" borderId="162" xfId="0" applyNumberFormat="1" applyFont="1" applyFill="1" applyBorder="1" applyAlignment="1" applyProtection="1">
      <alignment horizontal="center" vertical="center" wrapText="1"/>
    </xf>
    <xf numFmtId="170" fontId="14" fillId="0" borderId="163" xfId="0" applyNumberFormat="1" applyFont="1" applyBorder="1" applyAlignment="1" applyProtection="1">
      <alignment horizontal="center" vertical="center" wrapText="1"/>
    </xf>
    <xf numFmtId="0" fontId="14" fillId="0" borderId="164" xfId="0" applyFont="1" applyBorder="1" applyAlignment="1" applyProtection="1">
      <alignment horizontal="center" vertical="center" wrapText="1"/>
    </xf>
    <xf numFmtId="0" fontId="16" fillId="0" borderId="25" xfId="0" applyFont="1" applyFill="1" applyBorder="1" applyAlignment="1" applyProtection="1">
      <alignment horizontal="right" vertical="center" wrapText="1"/>
    </xf>
    <xf numFmtId="0" fontId="16" fillId="0" borderId="12" xfId="0" applyFont="1" applyBorder="1" applyAlignment="1" applyProtection="1">
      <alignment horizontal="right" vertical="center"/>
    </xf>
    <xf numFmtId="0" fontId="27" fillId="8" borderId="63" xfId="0" applyFont="1" applyFill="1" applyBorder="1" applyAlignment="1" applyProtection="1">
      <alignment horizontal="center" vertical="center" wrapText="1"/>
    </xf>
    <xf numFmtId="0" fontId="27" fillId="8" borderId="77" xfId="0" applyFont="1" applyFill="1" applyBorder="1" applyAlignment="1" applyProtection="1">
      <alignment horizontal="center" vertical="center" wrapText="1"/>
    </xf>
    <xf numFmtId="0" fontId="17" fillId="2" borderId="79" xfId="0" applyFont="1" applyFill="1" applyBorder="1" applyAlignment="1" applyProtection="1">
      <alignment vertical="center"/>
      <protection locked="0"/>
    </xf>
    <xf numFmtId="0" fontId="14" fillId="0" borderId="39" xfId="0" applyFont="1" applyBorder="1" applyAlignment="1" applyProtection="1">
      <alignment vertical="center"/>
      <protection locked="0"/>
    </xf>
    <xf numFmtId="49" fontId="17" fillId="2" borderId="79" xfId="0" applyNumberFormat="1" applyFont="1" applyFill="1" applyBorder="1" applyAlignment="1" applyProtection="1">
      <alignment vertical="center"/>
      <protection locked="0"/>
    </xf>
    <xf numFmtId="0" fontId="46" fillId="8" borderId="75" xfId="0" applyFont="1" applyFill="1" applyBorder="1" applyAlignment="1" applyProtection="1">
      <alignment horizontal="center" vertical="center" wrapText="1"/>
    </xf>
    <xf numFmtId="0" fontId="49" fillId="0" borderId="68" xfId="0" applyFont="1" applyBorder="1" applyAlignment="1">
      <alignment horizontal="center" vertical="center" wrapText="1"/>
    </xf>
    <xf numFmtId="0" fontId="49" fillId="0" borderId="69" xfId="0" applyFont="1" applyBorder="1" applyAlignment="1">
      <alignment horizontal="center" vertical="center" wrapText="1"/>
    </xf>
    <xf numFmtId="0" fontId="26" fillId="0" borderId="0"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wrapText="1"/>
    </xf>
    <xf numFmtId="0" fontId="14" fillId="0" borderId="5" xfId="0" applyFont="1" applyFill="1" applyBorder="1" applyAlignment="1">
      <alignment vertical="center"/>
    </xf>
    <xf numFmtId="0" fontId="16" fillId="0" borderId="12" xfId="0" applyFont="1" applyBorder="1" applyAlignment="1" applyProtection="1">
      <alignment horizontal="right" vertical="center" wrapText="1"/>
    </xf>
    <xf numFmtId="0" fontId="16" fillId="0" borderId="82" xfId="0" applyFont="1" applyFill="1" applyBorder="1" applyAlignment="1" applyProtection="1">
      <alignment horizontal="right" vertical="center"/>
    </xf>
    <xf numFmtId="0" fontId="14" fillId="0" borderId="151" xfId="0" applyFont="1" applyBorder="1" applyAlignment="1" applyProtection="1">
      <alignment horizontal="right" vertical="center"/>
    </xf>
    <xf numFmtId="0" fontId="14" fillId="0" borderId="152" xfId="0" applyFont="1" applyBorder="1" applyAlignment="1">
      <alignment horizontal="right" vertical="center"/>
    </xf>
    <xf numFmtId="49" fontId="17" fillId="2" borderId="79" xfId="0" applyNumberFormat="1" applyFont="1" applyFill="1" applyBorder="1" applyAlignment="1" applyProtection="1">
      <alignment horizontal="left" vertical="center"/>
      <protection locked="0"/>
    </xf>
    <xf numFmtId="0" fontId="61" fillId="5" borderId="0" xfId="0" applyFont="1" applyFill="1" applyBorder="1" applyAlignment="1" applyProtection="1">
      <alignment horizontal="center" vertical="center" wrapText="1"/>
    </xf>
    <xf numFmtId="0" fontId="62" fillId="0" borderId="0" xfId="0" applyFont="1" applyBorder="1" applyAlignment="1" applyProtection="1">
      <alignment horizontal="center" vertical="center" wrapText="1"/>
    </xf>
    <xf numFmtId="0" fontId="62" fillId="0" borderId="5" xfId="0" applyFont="1" applyBorder="1" applyAlignment="1">
      <alignment vertical="center" wrapText="1"/>
    </xf>
    <xf numFmtId="0" fontId="62" fillId="0" borderId="0" xfId="0" applyFont="1" applyBorder="1" applyAlignment="1">
      <alignment vertical="center" wrapText="1"/>
    </xf>
    <xf numFmtId="0" fontId="37" fillId="0" borderId="157" xfId="0" applyFont="1" applyFill="1" applyBorder="1" applyAlignment="1" applyProtection="1">
      <alignment horizontal="center" vertical="center" wrapText="1"/>
    </xf>
    <xf numFmtId="0" fontId="14" fillId="0" borderId="158" xfId="0" applyFont="1" applyBorder="1" applyAlignment="1" applyProtection="1">
      <alignment horizontal="center" vertical="center" wrapText="1"/>
    </xf>
    <xf numFmtId="0" fontId="17" fillId="8" borderId="122" xfId="0" applyFont="1" applyFill="1" applyBorder="1" applyAlignment="1" applyProtection="1">
      <alignment horizontal="center" vertical="top" wrapText="1"/>
    </xf>
    <xf numFmtId="0" fontId="16" fillId="0" borderId="123" xfId="0" applyFont="1" applyBorder="1" applyAlignment="1" applyProtection="1">
      <alignment vertical="top"/>
    </xf>
    <xf numFmtId="0" fontId="36" fillId="0" borderId="109" xfId="0" applyFont="1" applyFill="1" applyBorder="1" applyAlignment="1" applyProtection="1">
      <alignment horizontal="center" vertical="center" wrapText="1"/>
      <protection locked="0"/>
    </xf>
    <xf numFmtId="0" fontId="78" fillId="0" borderId="20" xfId="0" applyFont="1" applyFill="1" applyBorder="1" applyAlignment="1" applyProtection="1">
      <alignment horizontal="center" vertical="center" wrapText="1"/>
      <protection locked="0"/>
    </xf>
    <xf numFmtId="0" fontId="78" fillId="0" borderId="42" xfId="0" applyFont="1" applyFill="1" applyBorder="1" applyAlignment="1" applyProtection="1">
      <alignment horizontal="center" vertical="center" wrapText="1"/>
      <protection locked="0"/>
    </xf>
    <xf numFmtId="0" fontId="78" fillId="0" borderId="5" xfId="0" applyFont="1" applyFill="1" applyBorder="1" applyAlignment="1" applyProtection="1">
      <alignment horizontal="center" vertical="center" wrapText="1"/>
      <protection locked="0"/>
    </xf>
    <xf numFmtId="0" fontId="78" fillId="0" borderId="35" xfId="0" applyFont="1" applyFill="1" applyBorder="1" applyAlignment="1" applyProtection="1">
      <alignment horizontal="center" vertical="center" wrapText="1"/>
      <protection locked="0"/>
    </xf>
    <xf numFmtId="0" fontId="78" fillId="0" borderId="74" xfId="0" applyFont="1" applyFill="1" applyBorder="1" applyAlignment="1" applyProtection="1">
      <alignment horizontal="center" vertical="center" wrapText="1"/>
      <protection locked="0"/>
    </xf>
    <xf numFmtId="0" fontId="59" fillId="0" borderId="2" xfId="0" applyFont="1" applyBorder="1" applyAlignment="1" applyProtection="1">
      <alignment horizontal="center" vertical="center" wrapText="1"/>
      <protection locked="0"/>
    </xf>
    <xf numFmtId="0" fontId="77" fillId="0" borderId="0" xfId="0" applyFont="1" applyBorder="1" applyAlignment="1" applyProtection="1">
      <alignment horizontal="center" vertical="center" wrapText="1"/>
      <protection locked="0"/>
    </xf>
    <xf numFmtId="0" fontId="77" fillId="0" borderId="2" xfId="0" applyFont="1" applyBorder="1" applyAlignment="1" applyProtection="1">
      <alignment horizontal="center" vertical="center" wrapText="1"/>
      <protection locked="0"/>
    </xf>
    <xf numFmtId="49" fontId="120" fillId="2" borderId="79" xfId="13" applyNumberFormat="1" applyFont="1" applyFill="1" applyBorder="1" applyAlignment="1" applyProtection="1">
      <alignment vertical="center"/>
      <protection locked="0"/>
    </xf>
    <xf numFmtId="49" fontId="14" fillId="0" borderId="38" xfId="0" applyNumberFormat="1" applyFont="1" applyBorder="1" applyAlignment="1" applyProtection="1">
      <alignment vertical="center"/>
      <protection locked="0"/>
    </xf>
    <xf numFmtId="49" fontId="17" fillId="2" borderId="12" xfId="0" applyNumberFormat="1" applyFont="1" applyFill="1" applyBorder="1" applyAlignment="1" applyProtection="1">
      <alignment vertical="center"/>
      <protection locked="0"/>
    </xf>
    <xf numFmtId="49" fontId="14" fillId="0" borderId="12" xfId="0" applyNumberFormat="1" applyFont="1" applyBorder="1" applyAlignment="1" applyProtection="1">
      <alignment vertical="center"/>
      <protection locked="0"/>
    </xf>
    <xf numFmtId="49" fontId="17" fillId="2" borderId="108" xfId="0" applyNumberFormat="1" applyFont="1" applyFill="1" applyBorder="1" applyAlignment="1" applyProtection="1">
      <alignment vertical="center"/>
      <protection locked="0"/>
    </xf>
    <xf numFmtId="49" fontId="15" fillId="0" borderId="55" xfId="0" applyNumberFormat="1" applyFont="1" applyBorder="1" applyAlignment="1" applyProtection="1">
      <alignment vertical="center"/>
      <protection locked="0"/>
    </xf>
    <xf numFmtId="49" fontId="39" fillId="2" borderId="12" xfId="0" applyNumberFormat="1" applyFont="1" applyFill="1" applyBorder="1" applyAlignment="1" applyProtection="1">
      <alignment vertical="center"/>
      <protection locked="0"/>
    </xf>
    <xf numFmtId="0" fontId="53" fillId="0" borderId="26" xfId="0" applyFont="1" applyBorder="1" applyAlignment="1" applyProtection="1">
      <alignment vertical="center"/>
      <protection locked="0"/>
    </xf>
    <xf numFmtId="49" fontId="17" fillId="2" borderId="12" xfId="0" applyNumberFormat="1" applyFont="1" applyFill="1" applyBorder="1" applyAlignment="1" applyProtection="1">
      <alignment vertical="center" wrapText="1"/>
      <protection locked="0"/>
    </xf>
    <xf numFmtId="49" fontId="14" fillId="0" borderId="12" xfId="0" applyNumberFormat="1" applyFont="1" applyBorder="1" applyAlignment="1" applyProtection="1">
      <alignment vertical="center" wrapText="1"/>
      <protection locked="0"/>
    </xf>
    <xf numFmtId="0" fontId="16" fillId="0" borderId="81" xfId="0" applyFont="1" applyFill="1" applyBorder="1" applyAlignment="1" applyProtection="1">
      <alignment horizontal="right" vertical="center" wrapText="1"/>
    </xf>
    <xf numFmtId="0" fontId="14" fillId="0" borderId="148" xfId="0" applyFont="1" applyBorder="1" applyAlignment="1" applyProtection="1">
      <alignment horizontal="right" vertical="center" wrapText="1"/>
    </xf>
    <xf numFmtId="0" fontId="14" fillId="0" borderId="149" xfId="0" applyFont="1" applyBorder="1" applyAlignment="1">
      <alignment horizontal="right" vertical="center"/>
    </xf>
    <xf numFmtId="0" fontId="16" fillId="0" borderId="86" xfId="0" applyFont="1" applyFill="1" applyBorder="1" applyAlignment="1" applyProtection="1">
      <alignment horizontal="right" vertical="center"/>
    </xf>
    <xf numFmtId="0" fontId="14" fillId="0" borderId="153" xfId="0" applyFont="1" applyBorder="1" applyAlignment="1">
      <alignment horizontal="right" vertical="center"/>
    </xf>
    <xf numFmtId="0" fontId="14" fillId="0" borderId="154" xfId="0" applyFont="1" applyBorder="1" applyAlignment="1">
      <alignment horizontal="right" vertical="center"/>
    </xf>
    <xf numFmtId="0" fontId="31" fillId="0" borderId="25" xfId="0" applyFont="1" applyFill="1" applyBorder="1" applyAlignment="1" applyProtection="1">
      <alignment horizontal="center" vertical="center" wrapText="1"/>
    </xf>
    <xf numFmtId="0" fontId="14" fillId="0" borderId="12" xfId="0" applyFont="1" applyBorder="1" applyAlignment="1" applyProtection="1">
      <alignment horizontal="center" vertical="center" wrapText="1"/>
    </xf>
    <xf numFmtId="0" fontId="14" fillId="0" borderId="26" xfId="0" applyFont="1" applyBorder="1" applyAlignment="1" applyProtection="1">
      <alignment horizontal="center" vertical="center" wrapText="1"/>
    </xf>
    <xf numFmtId="0" fontId="14" fillId="0" borderId="25" xfId="0" applyFont="1" applyBorder="1" applyAlignment="1" applyProtection="1">
      <alignment vertical="center" wrapText="1"/>
    </xf>
    <xf numFmtId="0" fontId="14" fillId="0" borderId="12" xfId="0" applyFont="1" applyBorder="1" applyAlignment="1" applyProtection="1">
      <alignment vertical="center" wrapText="1"/>
    </xf>
    <xf numFmtId="0" fontId="14" fillId="0" borderId="26" xfId="0" applyFont="1" applyBorder="1" applyAlignment="1" applyProtection="1">
      <alignment vertical="center" wrapText="1"/>
    </xf>
    <xf numFmtId="49" fontId="17" fillId="0" borderId="79" xfId="0" applyNumberFormat="1" applyFont="1" applyFill="1" applyBorder="1" applyAlignment="1" applyProtection="1">
      <alignment vertical="center"/>
    </xf>
    <xf numFmtId="0" fontId="14" fillId="0" borderId="39" xfId="0" applyFont="1" applyFill="1" applyBorder="1" applyAlignment="1" applyProtection="1">
      <alignment vertical="center"/>
    </xf>
    <xf numFmtId="0" fontId="14" fillId="0" borderId="39" xfId="0" applyFont="1" applyBorder="1" applyAlignment="1" applyProtection="1">
      <alignment horizontal="left" vertical="center"/>
      <protection locked="0"/>
    </xf>
    <xf numFmtId="0" fontId="29" fillId="2" borderId="12" xfId="0" applyFont="1" applyFill="1" applyBorder="1" applyAlignment="1" applyProtection="1">
      <alignment horizontal="center" vertical="center"/>
      <protection locked="0"/>
    </xf>
    <xf numFmtId="0" fontId="14" fillId="0" borderId="28" xfId="0" applyFont="1" applyBorder="1" applyAlignment="1" applyProtection="1">
      <alignment vertical="center"/>
      <protection locked="0"/>
    </xf>
    <xf numFmtId="0" fontId="17" fillId="13" borderId="155" xfId="0" applyFont="1" applyFill="1" applyBorder="1" applyAlignment="1" applyProtection="1">
      <alignment horizontal="center" vertical="top" wrapText="1"/>
    </xf>
    <xf numFmtId="0" fontId="16" fillId="13" borderId="156" xfId="0" applyFont="1" applyFill="1" applyBorder="1" applyAlignment="1" applyProtection="1">
      <alignment horizontal="center" vertical="top" wrapText="1"/>
    </xf>
    <xf numFmtId="0" fontId="17" fillId="8" borderId="73" xfId="0" applyFont="1" applyFill="1" applyBorder="1" applyAlignment="1" applyProtection="1">
      <alignment horizontal="center" vertical="top" wrapText="1"/>
    </xf>
    <xf numFmtId="0" fontId="16" fillId="0" borderId="3" xfId="0" applyFont="1" applyBorder="1" applyAlignment="1" applyProtection="1">
      <alignment horizontal="center" vertical="top" wrapText="1"/>
    </xf>
    <xf numFmtId="0" fontId="14" fillId="0" borderId="141" xfId="0" applyFont="1" applyBorder="1" applyAlignment="1" applyProtection="1">
      <alignment vertical="center"/>
      <protection locked="0"/>
    </xf>
    <xf numFmtId="0" fontId="17" fillId="2" borderId="79" xfId="0" applyFont="1" applyFill="1" applyBorder="1" applyAlignment="1" applyProtection="1">
      <alignment vertical="center"/>
    </xf>
    <xf numFmtId="0" fontId="14" fillId="0" borderId="39" xfId="0" applyFont="1" applyBorder="1" applyAlignment="1" applyProtection="1">
      <alignment vertical="center"/>
    </xf>
    <xf numFmtId="0" fontId="17" fillId="7" borderId="155" xfId="0" applyFont="1" applyFill="1" applyBorder="1" applyAlignment="1" applyProtection="1">
      <alignment horizontal="center" vertical="top" wrapText="1"/>
    </xf>
    <xf numFmtId="0" fontId="16" fillId="0" borderId="156" xfId="0" applyFont="1" applyBorder="1" applyAlignment="1" applyProtection="1">
      <alignment horizontal="center" vertical="top" wrapText="1"/>
    </xf>
    <xf numFmtId="49" fontId="17" fillId="2" borderId="71" xfId="0" applyNumberFormat="1" applyFont="1" applyFill="1" applyBorder="1" applyAlignment="1" applyProtection="1">
      <alignment vertical="center"/>
    </xf>
    <xf numFmtId="0" fontId="14" fillId="0" borderId="141" xfId="0" applyFont="1" applyBorder="1" applyAlignment="1" applyProtection="1">
      <alignment vertical="center"/>
    </xf>
    <xf numFmtId="0" fontId="14" fillId="0" borderId="149" xfId="0" applyFont="1" applyBorder="1" applyAlignment="1" applyProtection="1">
      <alignment horizontal="right" vertical="center"/>
    </xf>
    <xf numFmtId="0" fontId="49" fillId="0" borderId="68" xfId="0" applyFont="1" applyBorder="1" applyAlignment="1" applyProtection="1">
      <alignment horizontal="center" vertical="center" wrapText="1"/>
    </xf>
    <xf numFmtId="0" fontId="49" fillId="0" borderId="69" xfId="0" applyFont="1" applyBorder="1" applyAlignment="1" applyProtection="1">
      <alignment horizontal="center" vertical="center" wrapText="1"/>
    </xf>
    <xf numFmtId="0" fontId="14" fillId="0" borderId="5" xfId="0" applyFont="1" applyFill="1" applyBorder="1" applyAlignment="1" applyProtection="1">
      <alignment vertical="center"/>
    </xf>
    <xf numFmtId="0" fontId="16" fillId="0" borderId="23" xfId="0" applyFont="1" applyFill="1" applyBorder="1" applyAlignment="1" applyProtection="1">
      <alignment horizontal="right" vertical="center" wrapText="1"/>
    </xf>
    <xf numFmtId="0" fontId="16" fillId="0" borderId="37" xfId="0" applyFont="1" applyBorder="1" applyAlignment="1" applyProtection="1">
      <alignment horizontal="right" vertical="center" wrapText="1"/>
    </xf>
    <xf numFmtId="0" fontId="14" fillId="0" borderId="152" xfId="0" applyFont="1" applyBorder="1" applyAlignment="1" applyProtection="1">
      <alignment horizontal="right" vertical="center"/>
    </xf>
    <xf numFmtId="49" fontId="17" fillId="2" borderId="79" xfId="0" applyNumberFormat="1" applyFont="1" applyFill="1" applyBorder="1" applyAlignment="1" applyProtection="1">
      <alignment horizontal="left" vertical="center"/>
    </xf>
    <xf numFmtId="0" fontId="62" fillId="0" borderId="5" xfId="0" applyFont="1" applyBorder="1" applyAlignment="1" applyProtection="1">
      <alignment vertical="center" wrapText="1"/>
    </xf>
    <xf numFmtId="0" fontId="62" fillId="0" borderId="0" xfId="0" applyFont="1" applyBorder="1" applyAlignment="1" applyProtection="1">
      <alignment vertical="center" wrapText="1"/>
    </xf>
    <xf numFmtId="0" fontId="37" fillId="0" borderId="162" xfId="0" applyFont="1" applyFill="1" applyBorder="1" applyAlignment="1" applyProtection="1">
      <alignment horizontal="center" vertical="center" wrapText="1"/>
    </xf>
    <xf numFmtId="0" fontId="14" fillId="0" borderId="163" xfId="0" applyFont="1" applyBorder="1" applyAlignment="1" applyProtection="1">
      <alignment horizontal="center" vertical="center" wrapText="1"/>
    </xf>
    <xf numFmtId="0" fontId="14" fillId="0" borderId="167" xfId="0" applyFont="1" applyBorder="1" applyAlignment="1" applyProtection="1">
      <alignment horizontal="center" vertical="center" wrapText="1"/>
    </xf>
    <xf numFmtId="0" fontId="36" fillId="0" borderId="109" xfId="0" applyFont="1" applyFill="1" applyBorder="1" applyAlignment="1" applyProtection="1">
      <alignment horizontal="center" vertical="center" wrapText="1"/>
    </xf>
    <xf numFmtId="0" fontId="78" fillId="0" borderId="20" xfId="0" applyFont="1" applyFill="1" applyBorder="1" applyAlignment="1" applyProtection="1">
      <alignment horizontal="center" vertical="center" wrapText="1"/>
    </xf>
    <xf numFmtId="0" fontId="78" fillId="0" borderId="42" xfId="0" applyFont="1" applyFill="1" applyBorder="1" applyAlignment="1" applyProtection="1">
      <alignment horizontal="center" vertical="center" wrapText="1"/>
    </xf>
    <xf numFmtId="0" fontId="78" fillId="0" borderId="5" xfId="0" applyFont="1" applyFill="1" applyBorder="1" applyAlignment="1" applyProtection="1">
      <alignment horizontal="center" vertical="center" wrapText="1"/>
    </xf>
    <xf numFmtId="0" fontId="78" fillId="0" borderId="35" xfId="0" applyFont="1" applyFill="1" applyBorder="1" applyAlignment="1" applyProtection="1">
      <alignment horizontal="center" vertical="center" wrapText="1"/>
    </xf>
    <xf numFmtId="0" fontId="78" fillId="0" borderId="74" xfId="0" applyFont="1" applyFill="1" applyBorder="1" applyAlignment="1" applyProtection="1">
      <alignment horizontal="center" vertical="center" wrapText="1"/>
    </xf>
    <xf numFmtId="0" fontId="16" fillId="0" borderId="168" xfId="0" applyFont="1" applyFill="1" applyBorder="1" applyAlignment="1" applyProtection="1">
      <alignment horizontal="right" vertical="center" wrapText="1"/>
    </xf>
    <xf numFmtId="0" fontId="16" fillId="0" borderId="169" xfId="0" applyFont="1" applyBorder="1" applyAlignment="1" applyProtection="1">
      <alignment horizontal="right" vertical="center" wrapText="1"/>
    </xf>
    <xf numFmtId="0" fontId="16" fillId="0" borderId="37" xfId="0" applyFont="1" applyBorder="1" applyAlignment="1" applyProtection="1">
      <alignment horizontal="right" vertical="center"/>
    </xf>
    <xf numFmtId="0" fontId="27" fillId="8" borderId="58" xfId="0" applyFont="1" applyFill="1" applyBorder="1" applyAlignment="1" applyProtection="1">
      <alignment horizontal="center" vertical="center" wrapText="1"/>
    </xf>
    <xf numFmtId="0" fontId="27" fillId="8" borderId="59" xfId="0" applyFont="1" applyFill="1" applyBorder="1" applyAlignment="1" applyProtection="1">
      <alignment horizontal="center" vertical="center" wrapText="1"/>
    </xf>
    <xf numFmtId="49" fontId="17" fillId="2" borderId="79" xfId="0" applyNumberFormat="1" applyFont="1" applyFill="1" applyBorder="1" applyAlignment="1" applyProtection="1">
      <alignment vertical="center"/>
    </xf>
    <xf numFmtId="0" fontId="16" fillId="0" borderId="165" xfId="0" applyFont="1" applyFill="1" applyBorder="1" applyAlignment="1" applyProtection="1">
      <alignment horizontal="right" vertical="center" wrapText="1"/>
    </xf>
    <xf numFmtId="0" fontId="16" fillId="0" borderId="166" xfId="0" applyFont="1" applyBorder="1" applyAlignment="1" applyProtection="1">
      <alignment horizontal="right" vertical="center"/>
    </xf>
    <xf numFmtId="170" fontId="17" fillId="6" borderId="76" xfId="0" applyNumberFormat="1" applyFont="1" applyFill="1" applyBorder="1" applyAlignment="1" applyProtection="1">
      <alignment horizontal="right" vertical="center" wrapText="1"/>
    </xf>
    <xf numFmtId="170" fontId="14" fillId="6" borderId="19" xfId="0" applyNumberFormat="1" applyFont="1" applyFill="1" applyBorder="1" applyAlignment="1" applyProtection="1">
      <alignment horizontal="right" vertical="center"/>
    </xf>
    <xf numFmtId="0" fontId="16" fillId="0" borderId="8" xfId="0" applyFont="1" applyBorder="1" applyAlignment="1" applyProtection="1">
      <alignment horizontal="right" vertical="center" wrapText="1"/>
    </xf>
    <xf numFmtId="0" fontId="16" fillId="0" borderId="4" xfId="0" applyFont="1" applyBorder="1" applyAlignment="1" applyProtection="1">
      <alignment horizontal="right" vertical="center" wrapText="1"/>
    </xf>
    <xf numFmtId="0" fontId="59" fillId="0" borderId="2" xfId="0" applyFont="1" applyBorder="1" applyAlignment="1" applyProtection="1">
      <alignment horizontal="center" vertical="center" wrapText="1"/>
    </xf>
    <xf numFmtId="0" fontId="77" fillId="0" borderId="0" xfId="0" applyFont="1" applyBorder="1" applyAlignment="1" applyProtection="1">
      <alignment horizontal="center" vertical="center" wrapText="1"/>
    </xf>
    <xf numFmtId="0" fontId="77" fillId="0" borderId="2" xfId="0" applyFont="1" applyBorder="1" applyAlignment="1" applyProtection="1">
      <alignment horizontal="center" vertical="center" wrapText="1"/>
    </xf>
    <xf numFmtId="49" fontId="39" fillId="2" borderId="79" xfId="0" applyNumberFormat="1" applyFont="1" applyFill="1" applyBorder="1" applyAlignment="1" applyProtection="1">
      <alignment vertical="center"/>
    </xf>
    <xf numFmtId="0" fontId="14" fillId="0" borderId="38" xfId="0" applyFont="1" applyBorder="1" applyAlignment="1" applyProtection="1">
      <alignment vertical="center"/>
    </xf>
    <xf numFmtId="49" fontId="17" fillId="2" borderId="12" xfId="0" applyNumberFormat="1" applyFont="1" applyFill="1" applyBorder="1" applyAlignment="1" applyProtection="1">
      <alignment vertical="center"/>
    </xf>
    <xf numFmtId="0" fontId="14" fillId="0" borderId="12" xfId="0" applyFont="1" applyBorder="1" applyAlignment="1" applyProtection="1">
      <alignment vertical="center"/>
    </xf>
    <xf numFmtId="0" fontId="14" fillId="0" borderId="153" xfId="0" applyFont="1" applyBorder="1" applyAlignment="1" applyProtection="1">
      <alignment horizontal="right" vertical="center"/>
    </xf>
    <xf numFmtId="0" fontId="14" fillId="0" borderId="154" xfId="0" applyFont="1" applyBorder="1" applyAlignment="1" applyProtection="1">
      <alignment horizontal="right" vertical="center"/>
    </xf>
    <xf numFmtId="49" fontId="17" fillId="2" borderId="112" xfId="0" applyNumberFormat="1" applyFont="1" applyFill="1" applyBorder="1" applyAlignment="1" applyProtection="1">
      <alignment vertical="center"/>
    </xf>
    <xf numFmtId="0" fontId="15" fillId="0" borderId="102" xfId="0" applyFont="1" applyBorder="1" applyAlignment="1" applyProtection="1">
      <alignment vertical="center"/>
    </xf>
    <xf numFmtId="49" fontId="39" fillId="2" borderId="12" xfId="0" applyNumberFormat="1" applyFont="1" applyFill="1" applyBorder="1" applyAlignment="1" applyProtection="1">
      <alignment vertical="center"/>
    </xf>
    <xf numFmtId="0" fontId="53" fillId="0" borderId="26" xfId="0" applyFont="1" applyBorder="1" applyAlignment="1" applyProtection="1">
      <alignment vertical="center"/>
    </xf>
    <xf numFmtId="0" fontId="14" fillId="0" borderId="26" xfId="0" applyFont="1" applyBorder="1" applyAlignment="1" applyProtection="1">
      <alignment vertical="center"/>
    </xf>
    <xf numFmtId="49" fontId="17" fillId="2" borderId="6" xfId="0" applyNumberFormat="1" applyFont="1" applyFill="1" applyBorder="1" applyAlignment="1" applyProtection="1">
      <alignment vertical="center"/>
    </xf>
    <xf numFmtId="0" fontId="14" fillId="0" borderId="6" xfId="0" applyFont="1" applyBorder="1" applyAlignment="1" applyProtection="1">
      <alignment vertical="center"/>
    </xf>
    <xf numFmtId="0" fontId="14" fillId="0" borderId="80" xfId="0" applyFont="1" applyBorder="1" applyAlignment="1" applyProtection="1">
      <alignment vertical="center"/>
    </xf>
    <xf numFmtId="0" fontId="14" fillId="0" borderId="39" xfId="0" applyFont="1" applyBorder="1" applyAlignment="1" applyProtection="1">
      <alignment horizontal="left" vertical="center"/>
    </xf>
    <xf numFmtId="0" fontId="29" fillId="2" borderId="12" xfId="0" applyFont="1" applyFill="1" applyBorder="1" applyAlignment="1" applyProtection="1">
      <alignment horizontal="center" vertical="center"/>
    </xf>
    <xf numFmtId="49" fontId="29" fillId="0" borderId="79" xfId="0" applyNumberFormat="1" applyFont="1" applyFill="1" applyBorder="1" applyAlignment="1" applyProtection="1">
      <alignment vertical="center"/>
    </xf>
    <xf numFmtId="0" fontId="9" fillId="0" borderId="39" xfId="0" applyFont="1" applyFill="1" applyBorder="1" applyAlignment="1" applyProtection="1">
      <alignment vertical="center"/>
    </xf>
    <xf numFmtId="179" fontId="20" fillId="2" borderId="78" xfId="0" applyNumberFormat="1" applyFont="1" applyFill="1" applyBorder="1" applyAlignment="1" applyProtection="1">
      <alignment vertical="center"/>
      <protection locked="0"/>
    </xf>
    <xf numFmtId="0" fontId="14" fillId="0" borderId="78" xfId="0" applyFont="1" applyBorder="1" applyAlignment="1" applyProtection="1">
      <alignment vertical="center"/>
      <protection locked="0"/>
    </xf>
    <xf numFmtId="0" fontId="81" fillId="2" borderId="16" xfId="14" applyFont="1" applyFill="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24" xfId="0" applyFont="1" applyBorder="1" applyAlignment="1" applyProtection="1">
      <alignment horizontal="left" vertical="center" wrapText="1"/>
      <protection locked="0"/>
    </xf>
    <xf numFmtId="0" fontId="0" fillId="0" borderId="4" xfId="0" applyFont="1" applyBorder="1" applyAlignment="1" applyProtection="1">
      <alignment horizontal="left" vertical="center" wrapText="1"/>
      <protection locked="0"/>
    </xf>
    <xf numFmtId="0" fontId="0" fillId="0" borderId="22" xfId="0" applyFont="1" applyBorder="1" applyAlignment="1" applyProtection="1">
      <alignment horizontal="left" vertical="center" wrapText="1"/>
      <protection locked="0"/>
    </xf>
    <xf numFmtId="0" fontId="34" fillId="0" borderId="12" xfId="0" applyFont="1" applyBorder="1" applyAlignment="1" applyProtection="1">
      <alignment horizontal="left" vertical="center"/>
    </xf>
    <xf numFmtId="0" fontId="16" fillId="0" borderId="12" xfId="0" applyFont="1" applyBorder="1" applyAlignment="1" applyProtection="1">
      <alignment vertical="center"/>
    </xf>
    <xf numFmtId="49" fontId="34" fillId="0" borderId="12" xfId="0" applyNumberFormat="1" applyFont="1" applyBorder="1" applyAlignment="1" applyProtection="1">
      <alignment vertical="center"/>
    </xf>
    <xf numFmtId="0" fontId="17" fillId="0" borderId="2" xfId="0" applyFont="1" applyBorder="1" applyAlignment="1" applyProtection="1">
      <alignment horizontal="right" vertical="center"/>
    </xf>
    <xf numFmtId="0" fontId="14" fillId="0" borderId="43" xfId="0" applyFont="1" applyBorder="1" applyAlignment="1" applyProtection="1">
      <alignment horizontal="right" vertical="center"/>
    </xf>
    <xf numFmtId="0" fontId="14" fillId="0" borderId="0" xfId="0" applyFont="1" applyBorder="1" applyAlignment="1" applyProtection="1">
      <alignment horizontal="right" vertical="center"/>
    </xf>
    <xf numFmtId="49" fontId="34" fillId="0" borderId="79" xfId="0" applyNumberFormat="1" applyFont="1" applyBorder="1" applyAlignment="1" applyProtection="1">
      <alignment horizontal="left" vertical="center"/>
    </xf>
    <xf numFmtId="49" fontId="14" fillId="0" borderId="37" xfId="0" applyNumberFormat="1" applyFont="1" applyBorder="1" applyAlignment="1" applyProtection="1">
      <alignment horizontal="left" vertical="center"/>
    </xf>
    <xf numFmtId="49" fontId="14" fillId="0" borderId="38" xfId="0" applyNumberFormat="1" applyFont="1" applyBorder="1" applyAlignment="1" applyProtection="1">
      <alignment horizontal="left" vertical="center"/>
    </xf>
    <xf numFmtId="0" fontId="34" fillId="0" borderId="79" xfId="0" applyFont="1" applyBorder="1" applyAlignment="1" applyProtection="1">
      <alignment horizontal="left" vertical="center"/>
    </xf>
    <xf numFmtId="0" fontId="14" fillId="0" borderId="37" xfId="0" applyFont="1" applyBorder="1" applyAlignment="1" applyProtection="1">
      <alignment vertical="center"/>
    </xf>
    <xf numFmtId="175" fontId="34" fillId="0" borderId="17" xfId="0" applyNumberFormat="1" applyFont="1" applyBorder="1" applyAlignment="1" applyProtection="1">
      <alignment horizontal="left" vertical="center"/>
    </xf>
    <xf numFmtId="175" fontId="14" fillId="0" borderId="16" xfId="0" applyNumberFormat="1" applyFont="1" applyBorder="1" applyAlignment="1" applyProtection="1">
      <alignment vertical="center"/>
    </xf>
    <xf numFmtId="43" fontId="5" fillId="0" borderId="79" xfId="0" applyNumberFormat="1" applyFont="1" applyFill="1" applyBorder="1" applyAlignment="1" applyProtection="1">
      <alignment horizontal="right" vertical="center"/>
    </xf>
    <xf numFmtId="43" fontId="5" fillId="0" borderId="38" xfId="0" applyNumberFormat="1" applyFont="1" applyFill="1" applyBorder="1" applyAlignment="1" applyProtection="1">
      <alignment horizontal="right" vertical="center"/>
    </xf>
    <xf numFmtId="0" fontId="72" fillId="0" borderId="12" xfId="0" applyFont="1" applyFill="1" applyBorder="1" applyAlignment="1" applyProtection="1">
      <alignment horizontal="center" vertical="center" wrapText="1"/>
    </xf>
    <xf numFmtId="43" fontId="5" fillId="0" borderId="12" xfId="0" applyNumberFormat="1" applyFont="1" applyFill="1" applyBorder="1" applyAlignment="1" applyProtection="1">
      <alignment horizontal="right" vertical="center"/>
    </xf>
    <xf numFmtId="43" fontId="4" fillId="0" borderId="12" xfId="0" applyNumberFormat="1" applyFont="1" applyBorder="1" applyAlignment="1" applyProtection="1">
      <alignment horizontal="right" vertical="center"/>
    </xf>
    <xf numFmtId="0" fontId="58" fillId="0" borderId="78" xfId="0" applyFont="1" applyBorder="1" applyAlignment="1" applyProtection="1">
      <alignment horizontal="left" vertical="center"/>
    </xf>
    <xf numFmtId="0" fontId="16" fillId="0" borderId="78" xfId="0" applyFont="1" applyBorder="1" applyAlignment="1" applyProtection="1">
      <alignment vertical="center"/>
    </xf>
    <xf numFmtId="0" fontId="16" fillId="0" borderId="117" xfId="0" applyFont="1" applyBorder="1" applyAlignment="1" applyProtection="1">
      <alignment vertical="center"/>
    </xf>
    <xf numFmtId="49" fontId="34" fillId="0" borderId="62" xfId="0" quotePrefix="1" applyNumberFormat="1" applyFont="1" applyFill="1" applyBorder="1" applyAlignment="1" applyProtection="1">
      <alignment horizontal="left" vertical="center" wrapText="1"/>
    </xf>
    <xf numFmtId="0" fontId="16" fillId="0" borderId="62" xfId="0" applyFont="1" applyBorder="1" applyAlignment="1" applyProtection="1">
      <alignment horizontal="left" vertical="center" wrapText="1"/>
    </xf>
    <xf numFmtId="0" fontId="16" fillId="0" borderId="170" xfId="0" applyFont="1" applyBorder="1" applyAlignment="1" applyProtection="1">
      <alignment horizontal="left" vertical="center" wrapText="1"/>
    </xf>
    <xf numFmtId="0" fontId="14" fillId="0" borderId="62" xfId="0" applyFont="1" applyBorder="1" applyAlignment="1" applyProtection="1">
      <alignment vertical="center"/>
    </xf>
    <xf numFmtId="0" fontId="14" fillId="0" borderId="170" xfId="0" applyFont="1" applyBorder="1" applyAlignment="1" applyProtection="1">
      <alignment vertical="center"/>
    </xf>
    <xf numFmtId="0" fontId="34" fillId="0" borderId="78" xfId="0" applyFont="1" applyBorder="1" applyAlignment="1" applyProtection="1">
      <alignment horizontal="left" vertical="center"/>
    </xf>
    <xf numFmtId="0" fontId="14" fillId="0" borderId="78" xfId="0" applyFont="1" applyBorder="1" applyAlignment="1" applyProtection="1">
      <alignment vertical="center"/>
    </xf>
    <xf numFmtId="0" fontId="17" fillId="0" borderId="0" xfId="0" applyFont="1" applyBorder="1" applyAlignment="1" applyProtection="1">
      <alignment horizontal="right" vertical="center"/>
    </xf>
    <xf numFmtId="0" fontId="63" fillId="0" borderId="6" xfId="0" applyFont="1" applyBorder="1" applyAlignment="1" applyProtection="1">
      <alignment horizontal="left" vertical="center"/>
    </xf>
    <xf numFmtId="0" fontId="63" fillId="0" borderId="6" xfId="0" applyFont="1" applyBorder="1" applyAlignment="1" applyProtection="1">
      <alignment vertical="center"/>
    </xf>
    <xf numFmtId="0" fontId="34" fillId="0" borderId="44" xfId="0" applyFont="1" applyBorder="1" applyAlignment="1" applyProtection="1">
      <alignment horizontal="left" vertical="center"/>
    </xf>
    <xf numFmtId="0" fontId="16" fillId="0" borderId="44" xfId="0" applyFont="1" applyBorder="1" applyAlignment="1" applyProtection="1">
      <alignment vertical="center"/>
    </xf>
    <xf numFmtId="49" fontId="34" fillId="0" borderId="12" xfId="0" applyNumberFormat="1" applyFont="1" applyBorder="1" applyAlignment="1" applyProtection="1">
      <alignment horizontal="left" vertical="center"/>
    </xf>
    <xf numFmtId="49" fontId="14" fillId="0" borderId="12" xfId="0" applyNumberFormat="1" applyFont="1" applyBorder="1" applyAlignment="1" applyProtection="1">
      <alignment vertical="center"/>
    </xf>
    <xf numFmtId="49" fontId="34" fillId="0" borderId="0" xfId="0" applyNumberFormat="1" applyFont="1" applyBorder="1" applyAlignment="1" applyProtection="1">
      <alignment horizontal="left" vertical="center"/>
    </xf>
    <xf numFmtId="0" fontId="14" fillId="0" borderId="0" xfId="0" applyFont="1" applyBorder="1" applyAlignment="1" applyProtection="1">
      <alignment vertical="center"/>
    </xf>
    <xf numFmtId="49" fontId="34" fillId="0" borderId="28" xfId="0" applyNumberFormat="1" applyFont="1" applyFill="1" applyBorder="1" applyAlignment="1" applyProtection="1">
      <alignment horizontal="left" vertical="center"/>
    </xf>
    <xf numFmtId="49" fontId="14" fillId="0" borderId="28" xfId="0" applyNumberFormat="1" applyFont="1" applyBorder="1" applyAlignment="1" applyProtection="1">
      <alignment vertical="center"/>
    </xf>
    <xf numFmtId="49" fontId="44" fillId="0" borderId="12" xfId="14" applyNumberFormat="1" applyFont="1" applyFill="1" applyBorder="1" applyAlignment="1" applyProtection="1">
      <alignment horizontal="left" vertical="center"/>
    </xf>
    <xf numFmtId="49" fontId="16" fillId="0" borderId="12" xfId="0" applyNumberFormat="1" applyFont="1" applyBorder="1" applyAlignment="1" applyProtection="1">
      <alignment horizontal="left" vertical="center"/>
    </xf>
    <xf numFmtId="49" fontId="16" fillId="0" borderId="12" xfId="0" applyNumberFormat="1" applyFont="1" applyBorder="1" applyAlignment="1" applyProtection="1">
      <alignment vertical="center"/>
    </xf>
    <xf numFmtId="49" fontId="34" fillId="0" borderId="79" xfId="0" applyNumberFormat="1" applyFont="1" applyBorder="1" applyAlignment="1" applyProtection="1">
      <alignment vertical="center"/>
    </xf>
    <xf numFmtId="49" fontId="14" fillId="0" borderId="37" xfId="0" applyNumberFormat="1" applyFont="1" applyBorder="1" applyAlignment="1" applyProtection="1">
      <alignment vertical="center"/>
    </xf>
    <xf numFmtId="49" fontId="14" fillId="0" borderId="38" xfId="0" applyNumberFormat="1" applyFont="1" applyBorder="1" applyAlignment="1" applyProtection="1">
      <alignment vertical="center"/>
    </xf>
    <xf numFmtId="0" fontId="17" fillId="0" borderId="2" xfId="0" applyFont="1" applyFill="1" applyBorder="1" applyAlignment="1" applyProtection="1">
      <alignment horizontal="right" vertical="center"/>
    </xf>
    <xf numFmtId="0" fontId="17" fillId="0" borderId="8" xfId="0" applyFont="1" applyBorder="1" applyAlignment="1" applyProtection="1">
      <alignment horizontal="right" vertical="center"/>
    </xf>
    <xf numFmtId="0" fontId="14" fillId="0" borderId="60" xfId="0" applyFont="1" applyBorder="1" applyAlignment="1" applyProtection="1">
      <alignment horizontal="right" vertical="center"/>
    </xf>
    <xf numFmtId="9" fontId="4" fillId="0" borderId="2" xfId="0" applyNumberFormat="1" applyFont="1" applyFill="1" applyBorder="1" applyAlignment="1" applyProtection="1">
      <alignment vertical="center" wrapText="1"/>
    </xf>
    <xf numFmtId="0" fontId="14" fillId="0" borderId="0" xfId="0" applyFont="1" applyBorder="1" applyAlignment="1" applyProtection="1">
      <alignment vertical="center" wrapText="1"/>
    </xf>
    <xf numFmtId="0" fontId="14" fillId="0" borderId="2" xfId="0" applyFont="1" applyBorder="1" applyAlignment="1" applyProtection="1">
      <alignment vertical="center" wrapText="1"/>
    </xf>
    <xf numFmtId="9" fontId="5" fillId="0" borderId="2" xfId="0" applyNumberFormat="1" applyFont="1" applyFill="1" applyBorder="1" applyAlignment="1" applyProtection="1">
      <alignment horizontal="left" vertical="center" wrapText="1"/>
    </xf>
    <xf numFmtId="0" fontId="4" fillId="0" borderId="2" xfId="0" applyFont="1" applyFill="1" applyBorder="1" applyAlignment="1" applyProtection="1">
      <alignment horizontal="left" vertical="center" wrapText="1"/>
    </xf>
    <xf numFmtId="0" fontId="4" fillId="0" borderId="0" xfId="0" applyFont="1" applyBorder="1" applyAlignment="1" applyProtection="1">
      <alignment horizontal="left" vertical="center"/>
    </xf>
    <xf numFmtId="0" fontId="14" fillId="0" borderId="2" xfId="0" applyFont="1" applyBorder="1" applyAlignment="1" applyProtection="1">
      <alignment horizontal="left" vertical="center"/>
    </xf>
    <xf numFmtId="0" fontId="14" fillId="0" borderId="0" xfId="0" applyFont="1" applyBorder="1" applyAlignment="1" applyProtection="1">
      <alignment horizontal="left" vertical="center"/>
    </xf>
    <xf numFmtId="43" fontId="4" fillId="0" borderId="38" xfId="0" applyNumberFormat="1" applyFont="1" applyBorder="1" applyAlignment="1" applyProtection="1">
      <alignment horizontal="right" vertical="center"/>
    </xf>
    <xf numFmtId="179" fontId="20" fillId="2" borderId="71" xfId="0" applyNumberFormat="1" applyFont="1" applyFill="1" applyBorder="1" applyAlignment="1" applyProtection="1">
      <alignment vertical="center"/>
      <protection locked="0"/>
    </xf>
    <xf numFmtId="0" fontId="14" fillId="0" borderId="57" xfId="0" applyFont="1" applyBorder="1" applyAlignment="1" applyProtection="1">
      <alignment vertical="center"/>
      <protection locked="0"/>
    </xf>
    <xf numFmtId="43" fontId="5" fillId="0" borderId="79" xfId="0" applyNumberFormat="1" applyFont="1" applyFill="1" applyBorder="1" applyAlignment="1" applyProtection="1">
      <alignment horizontal="left" vertical="center"/>
    </xf>
    <xf numFmtId="43" fontId="5" fillId="0" borderId="37" xfId="0" applyNumberFormat="1" applyFont="1" applyFill="1" applyBorder="1" applyAlignment="1" applyProtection="1">
      <alignment horizontal="left" vertical="center"/>
    </xf>
    <xf numFmtId="43" fontId="5" fillId="0" borderId="38" xfId="0" applyNumberFormat="1" applyFont="1" applyFill="1" applyBorder="1" applyAlignment="1" applyProtection="1">
      <alignment horizontal="left" vertical="center"/>
    </xf>
    <xf numFmtId="174" fontId="58" fillId="0" borderId="0" xfId="14" applyNumberFormat="1" applyFont="1" applyFill="1" applyBorder="1" applyAlignment="1" applyProtection="1">
      <alignment horizontal="center" vertical="center"/>
    </xf>
    <xf numFmtId="0" fontId="53" fillId="0" borderId="0" xfId="0" applyFont="1" applyBorder="1" applyAlignment="1" applyProtection="1">
      <alignment horizontal="center" vertical="center"/>
    </xf>
    <xf numFmtId="0" fontId="14" fillId="0" borderId="0" xfId="0" applyFont="1" applyBorder="1" applyAlignment="1" applyProtection="1">
      <alignment horizontal="center" vertical="center"/>
    </xf>
    <xf numFmtId="0" fontId="14" fillId="0" borderId="43" xfId="0" applyFont="1" applyBorder="1" applyAlignment="1" applyProtection="1">
      <alignment horizontal="center" vertical="center"/>
    </xf>
    <xf numFmtId="49" fontId="16" fillId="0" borderId="4" xfId="0" applyNumberFormat="1" applyFont="1" applyBorder="1" applyAlignment="1" applyProtection="1">
      <alignment vertical="center"/>
    </xf>
    <xf numFmtId="0" fontId="14" fillId="0" borderId="4" xfId="0" applyFont="1" applyBorder="1" applyAlignment="1" applyProtection="1">
      <alignment vertical="center"/>
    </xf>
    <xf numFmtId="172" fontId="34" fillId="0" borderId="100" xfId="0" applyNumberFormat="1" applyFont="1" applyBorder="1" applyAlignment="1" applyProtection="1">
      <alignment horizontal="left" vertical="center"/>
    </xf>
    <xf numFmtId="0" fontId="4" fillId="0" borderId="0" xfId="0" applyFont="1" applyBorder="1" applyAlignment="1" applyProtection="1">
      <alignment horizontal="left" vertical="center" wrapText="1"/>
    </xf>
    <xf numFmtId="0" fontId="14" fillId="0" borderId="2" xfId="0" applyFont="1" applyBorder="1" applyAlignment="1" applyProtection="1">
      <alignment vertical="center"/>
    </xf>
    <xf numFmtId="179" fontId="20" fillId="2" borderId="104" xfId="0" applyNumberFormat="1" applyFont="1" applyFill="1" applyBorder="1" applyAlignment="1" applyProtection="1">
      <alignment vertical="center"/>
      <protection locked="0"/>
    </xf>
    <xf numFmtId="0" fontId="4" fillId="0" borderId="171" xfId="0" applyFont="1" applyBorder="1" applyAlignment="1" applyProtection="1">
      <alignment vertical="center"/>
      <protection locked="0"/>
    </xf>
    <xf numFmtId="0" fontId="4" fillId="0" borderId="12" xfId="0" applyFont="1" applyBorder="1" applyAlignment="1" applyProtection="1">
      <alignment horizontal="center" vertical="center" wrapText="1"/>
    </xf>
    <xf numFmtId="0" fontId="72" fillId="0" borderId="79" xfId="0" applyFont="1" applyFill="1" applyBorder="1" applyAlignment="1" applyProtection="1">
      <alignment horizontal="center" vertical="center" wrapText="1"/>
    </xf>
    <xf numFmtId="0" fontId="14" fillId="0" borderId="38" xfId="0" applyFont="1" applyBorder="1" applyAlignment="1" applyProtection="1">
      <alignment horizontal="center" vertical="center" wrapText="1"/>
    </xf>
    <xf numFmtId="43" fontId="5" fillId="0" borderId="12" xfId="0" applyNumberFormat="1" applyFont="1" applyFill="1" applyBorder="1" applyAlignment="1" applyProtection="1">
      <alignment horizontal="left" vertical="center"/>
    </xf>
    <xf numFmtId="43" fontId="4" fillId="0" borderId="12" xfId="0" applyNumberFormat="1" applyFont="1" applyBorder="1" applyAlignment="1" applyProtection="1">
      <alignment horizontal="left" vertical="center"/>
    </xf>
    <xf numFmtId="0" fontId="5" fillId="0" borderId="13" xfId="0" applyFont="1" applyFill="1" applyBorder="1" applyAlignment="1" applyProtection="1">
      <alignment horizontal="right" vertical="center"/>
    </xf>
    <xf numFmtId="0" fontId="14" fillId="0" borderId="13" xfId="0" applyFont="1" applyBorder="1" applyAlignment="1" applyProtection="1">
      <alignment horizontal="right" vertical="center"/>
    </xf>
    <xf numFmtId="0" fontId="17" fillId="0" borderId="8" xfId="0" applyFont="1" applyFill="1" applyBorder="1" applyAlignment="1" applyProtection="1">
      <alignment horizontal="left" vertical="center" wrapText="1"/>
    </xf>
    <xf numFmtId="0" fontId="16" fillId="0" borderId="4" xfId="0" applyFont="1" applyBorder="1" applyAlignment="1" applyProtection="1">
      <alignment horizontal="left" vertical="center" wrapText="1"/>
    </xf>
    <xf numFmtId="0" fontId="17" fillId="0" borderId="100" xfId="0" applyFont="1" applyFill="1" applyBorder="1" applyAlignment="1" applyProtection="1">
      <alignment horizontal="right" vertical="center"/>
    </xf>
    <xf numFmtId="0" fontId="16" fillId="0" borderId="4" xfId="0" applyFont="1" applyBorder="1" applyAlignment="1" applyProtection="1">
      <alignment vertical="center"/>
    </xf>
    <xf numFmtId="0" fontId="16" fillId="0" borderId="0" xfId="0" applyFont="1" applyBorder="1" applyAlignment="1" applyProtection="1">
      <alignment vertical="center"/>
    </xf>
    <xf numFmtId="0" fontId="17" fillId="0" borderId="0" xfId="0" applyFont="1" applyFill="1" applyBorder="1" applyAlignment="1" applyProtection="1">
      <alignment horizontal="right" vertical="center"/>
    </xf>
    <xf numFmtId="49" fontId="34" fillId="0" borderId="28" xfId="0" applyNumberFormat="1" applyFont="1" applyBorder="1" applyAlignment="1" applyProtection="1">
      <alignment vertical="center"/>
    </xf>
    <xf numFmtId="49" fontId="63" fillId="0" borderId="78" xfId="0" applyNumberFormat="1" applyFont="1" applyBorder="1" applyAlignment="1" applyProtection="1">
      <alignment horizontal="left" vertical="center"/>
    </xf>
    <xf numFmtId="0" fontId="14" fillId="0" borderId="117" xfId="0" applyFont="1" applyBorder="1" applyAlignment="1" applyProtection="1">
      <alignment vertical="center"/>
    </xf>
    <xf numFmtId="180" fontId="34" fillId="0" borderId="78" xfId="0" applyNumberFormat="1" applyFont="1" applyBorder="1" applyAlignment="1" applyProtection="1">
      <alignment vertical="center"/>
    </xf>
    <xf numFmtId="180" fontId="34" fillId="0" borderId="12" xfId="0" applyNumberFormat="1" applyFont="1" applyBorder="1" applyAlignment="1" applyProtection="1">
      <alignment horizontal="left" vertical="center"/>
    </xf>
    <xf numFmtId="0" fontId="31" fillId="0" borderId="0" xfId="0" applyFont="1" applyBorder="1" applyAlignment="1" applyProtection="1">
      <alignment horizontal="right" vertical="center"/>
    </xf>
    <xf numFmtId="176" fontId="34" fillId="0" borderId="28" xfId="0" applyNumberFormat="1" applyFont="1" applyFill="1" applyBorder="1" applyAlignment="1" applyProtection="1">
      <alignment horizontal="left" vertical="center" wrapText="1"/>
    </xf>
    <xf numFmtId="0" fontId="16" fillId="0" borderId="53" xfId="0" applyFont="1" applyBorder="1" applyAlignment="1" applyProtection="1">
      <alignment vertical="center"/>
    </xf>
    <xf numFmtId="0" fontId="1" fillId="0" borderId="26" xfId="0" applyFont="1" applyBorder="1" applyAlignment="1"/>
    <xf numFmtId="0" fontId="73" fillId="0" borderId="0" xfId="0" applyFont="1" applyBorder="1" applyAlignment="1" applyProtection="1">
      <alignment horizontal="left" vertical="center"/>
    </xf>
    <xf numFmtId="0" fontId="14" fillId="0" borderId="0" xfId="0" applyFont="1" applyBorder="1" applyAlignment="1">
      <alignment horizontal="left" vertical="center"/>
    </xf>
    <xf numFmtId="0" fontId="0" fillId="0" borderId="0" xfId="0" applyBorder="1" applyAlignment="1">
      <alignment horizontal="left" vertical="center"/>
    </xf>
    <xf numFmtId="0" fontId="0" fillId="0" borderId="5" xfId="0" applyBorder="1" applyAlignment="1"/>
    <xf numFmtId="176" fontId="34" fillId="0" borderId="12" xfId="0" applyNumberFormat="1" applyFont="1" applyFill="1" applyBorder="1" applyAlignment="1" applyProtection="1">
      <alignment horizontal="left" vertical="center" wrapText="1"/>
    </xf>
    <xf numFmtId="0" fontId="16" fillId="0" borderId="26" xfId="0" applyFont="1" applyBorder="1" applyAlignment="1" applyProtection="1">
      <alignment vertical="center"/>
    </xf>
    <xf numFmtId="49" fontId="34" fillId="0" borderId="68" xfId="0" quotePrefix="1" applyNumberFormat="1" applyFont="1" applyFill="1" applyBorder="1" applyAlignment="1" applyProtection="1">
      <alignment horizontal="left" vertical="center" wrapText="1"/>
    </xf>
    <xf numFmtId="0" fontId="16" fillId="0" borderId="68" xfId="0" applyFont="1" applyBorder="1" applyAlignment="1" applyProtection="1">
      <alignment horizontal="left" vertical="center" wrapText="1"/>
    </xf>
    <xf numFmtId="0" fontId="14" fillId="0" borderId="68" xfId="0" applyFont="1" applyBorder="1" applyAlignment="1" applyProtection="1">
      <alignment vertical="center"/>
    </xf>
    <xf numFmtId="0" fontId="34" fillId="0" borderId="71" xfId="0" applyFont="1" applyBorder="1" applyAlignment="1" applyProtection="1">
      <alignment horizontal="left" vertical="center"/>
    </xf>
    <xf numFmtId="0" fontId="14" fillId="0" borderId="1" xfId="0" applyFont="1" applyBorder="1" applyAlignment="1" applyProtection="1">
      <alignment vertical="center"/>
    </xf>
    <xf numFmtId="180" fontId="34" fillId="0" borderId="71" xfId="0" applyNumberFormat="1" applyFont="1" applyBorder="1" applyAlignment="1" applyProtection="1">
      <alignment horizontal="left" vertical="center"/>
    </xf>
    <xf numFmtId="0" fontId="14" fillId="0" borderId="57" xfId="0" applyFont="1" applyBorder="1" applyAlignment="1" applyProtection="1">
      <alignment horizontal="left" vertical="center"/>
    </xf>
    <xf numFmtId="0" fontId="34" fillId="0" borderId="78" xfId="0" applyNumberFormat="1" applyFont="1" applyBorder="1" applyAlignment="1" applyProtection="1">
      <alignment horizontal="left" vertical="center"/>
    </xf>
    <xf numFmtId="0" fontId="14" fillId="0" borderId="28" xfId="0" applyFont="1" applyBorder="1" applyAlignment="1" applyProtection="1">
      <alignment vertical="center"/>
    </xf>
    <xf numFmtId="49" fontId="14" fillId="0" borderId="53" xfId="0" applyNumberFormat="1" applyFont="1" applyBorder="1" applyAlignment="1" applyProtection="1">
      <alignment vertical="center"/>
    </xf>
    <xf numFmtId="0" fontId="32" fillId="0" borderId="4" xfId="0" applyFont="1" applyFill="1" applyBorder="1" applyAlignment="1" applyProtection="1">
      <alignment horizontal="right" vertical="center"/>
    </xf>
    <xf numFmtId="0" fontId="14" fillId="0" borderId="4" xfId="0" applyFont="1" applyBorder="1" applyAlignment="1" applyProtection="1">
      <alignment horizontal="right" vertical="center"/>
    </xf>
    <xf numFmtId="167" fontId="29" fillId="0" borderId="4" xfId="0" applyNumberFormat="1" applyFont="1" applyFill="1" applyBorder="1" applyAlignment="1" applyProtection="1">
      <alignment horizontal="right" vertical="center"/>
    </xf>
    <xf numFmtId="0" fontId="29" fillId="0" borderId="4" xfId="0" applyFont="1" applyBorder="1" applyAlignment="1" applyProtection="1">
      <alignment horizontal="right" vertical="center"/>
    </xf>
    <xf numFmtId="49" fontId="58" fillId="0" borderId="78" xfId="0" applyNumberFormat="1" applyFont="1" applyBorder="1" applyAlignment="1" applyProtection="1">
      <alignment horizontal="left" vertical="center"/>
    </xf>
    <xf numFmtId="173" fontId="7" fillId="0" borderId="13" xfId="0" applyNumberFormat="1" applyFont="1" applyBorder="1" applyAlignment="1" applyProtection="1">
      <alignment horizontal="right" vertical="center"/>
    </xf>
    <xf numFmtId="0" fontId="4" fillId="0" borderId="13" xfId="0" applyFont="1" applyBorder="1" applyAlignment="1" applyProtection="1">
      <alignment vertical="center"/>
    </xf>
    <xf numFmtId="0" fontId="4" fillId="0" borderId="0" xfId="0" applyFont="1" applyBorder="1" applyAlignment="1" applyProtection="1">
      <alignment vertical="center"/>
    </xf>
    <xf numFmtId="0" fontId="4" fillId="0" borderId="43" xfId="0" applyFont="1" applyBorder="1" applyAlignment="1" applyProtection="1">
      <alignment vertical="center"/>
    </xf>
    <xf numFmtId="174" fontId="50" fillId="0" borderId="13" xfId="14" applyNumberFormat="1" applyFont="1" applyFill="1" applyBorder="1" applyAlignment="1" applyProtection="1">
      <alignment horizontal="right" vertical="center"/>
    </xf>
    <xf numFmtId="172" fontId="34" fillId="0" borderId="71" xfId="0" applyNumberFormat="1" applyFont="1" applyBorder="1" applyAlignment="1" applyProtection="1">
      <alignment horizontal="left" vertical="center"/>
    </xf>
    <xf numFmtId="0" fontId="14" fillId="0" borderId="57" xfId="0" applyFont="1" applyBorder="1" applyAlignment="1" applyProtection="1">
      <alignment vertical="center"/>
    </xf>
    <xf numFmtId="0" fontId="7" fillId="0" borderId="8" xfId="0" applyFont="1" applyFill="1" applyBorder="1" applyAlignment="1" applyProtection="1">
      <alignment horizontal="left" vertical="center"/>
    </xf>
    <xf numFmtId="0" fontId="4" fillId="0" borderId="4" xfId="0" applyFont="1" applyBorder="1" applyAlignment="1" applyProtection="1">
      <alignment horizontal="left" vertical="center"/>
    </xf>
    <xf numFmtId="0" fontId="7" fillId="0" borderId="4" xfId="0" applyFont="1" applyFill="1" applyBorder="1" applyAlignment="1" applyProtection="1">
      <alignment horizontal="right" vertical="center"/>
    </xf>
    <xf numFmtId="0" fontId="4" fillId="0" borderId="4" xfId="0" applyFont="1" applyBorder="1" applyAlignment="1" applyProtection="1">
      <alignment vertical="center"/>
    </xf>
    <xf numFmtId="43" fontId="5" fillId="0" borderId="78" xfId="0" applyNumberFormat="1" applyFont="1" applyFill="1" applyBorder="1" applyAlignment="1" applyProtection="1">
      <alignment vertical="center"/>
    </xf>
    <xf numFmtId="43" fontId="1" fillId="0" borderId="117" xfId="0" applyNumberFormat="1" applyFont="1" applyFill="1" applyBorder="1" applyAlignment="1" applyProtection="1">
      <alignment vertical="center"/>
    </xf>
    <xf numFmtId="43" fontId="20" fillId="2" borderId="71" xfId="0" applyNumberFormat="1" applyFont="1" applyFill="1" applyBorder="1" applyAlignment="1" applyProtection="1">
      <alignment vertical="center"/>
      <protection locked="0"/>
    </xf>
    <xf numFmtId="43" fontId="1" fillId="0" borderId="57" xfId="0" applyNumberFormat="1" applyFont="1" applyBorder="1" applyAlignment="1" applyProtection="1">
      <alignment vertical="center"/>
      <protection locked="0"/>
    </xf>
    <xf numFmtId="43" fontId="20" fillId="2" borderId="78" xfId="0" applyNumberFormat="1" applyFont="1" applyFill="1" applyBorder="1" applyAlignment="1" applyProtection="1">
      <alignment vertical="center"/>
      <protection locked="0"/>
    </xf>
    <xf numFmtId="43" fontId="1" fillId="0" borderId="78" xfId="0" applyNumberFormat="1" applyFont="1" applyBorder="1" applyAlignment="1" applyProtection="1">
      <alignment vertical="center"/>
      <protection locked="0"/>
    </xf>
    <xf numFmtId="43" fontId="20" fillId="2" borderId="104" xfId="0" applyNumberFormat="1" applyFont="1" applyFill="1" applyBorder="1" applyAlignment="1" applyProtection="1">
      <alignment vertical="center"/>
      <protection locked="0"/>
    </xf>
    <xf numFmtId="43" fontId="1" fillId="0" borderId="171" xfId="0" applyNumberFormat="1" applyFont="1" applyBorder="1" applyAlignment="1" applyProtection="1">
      <alignment vertical="center"/>
      <protection locked="0"/>
    </xf>
    <xf numFmtId="0" fontId="1" fillId="0" borderId="12" xfId="0" applyFont="1" applyBorder="1" applyAlignment="1" applyProtection="1">
      <alignment horizontal="center" vertical="center" wrapText="1"/>
    </xf>
    <xf numFmtId="0" fontId="4" fillId="0" borderId="0" xfId="0" applyFont="1" applyBorder="1" applyAlignment="1" applyProtection="1">
      <alignment vertical="center" wrapText="1"/>
    </xf>
    <xf numFmtId="0" fontId="4" fillId="0" borderId="2" xfId="0" applyFont="1" applyBorder="1" applyAlignment="1" applyProtection="1">
      <alignment vertical="center" wrapText="1"/>
    </xf>
    <xf numFmtId="43" fontId="1" fillId="0" borderId="38" xfId="0" applyNumberFormat="1" applyFont="1" applyBorder="1" applyAlignment="1" applyProtection="1">
      <alignment horizontal="right" vertical="center"/>
    </xf>
    <xf numFmtId="43" fontId="1" fillId="0" borderId="12" xfId="0" applyNumberFormat="1" applyFont="1" applyBorder="1" applyAlignment="1" applyProtection="1">
      <alignment horizontal="left" vertical="center"/>
    </xf>
    <xf numFmtId="43" fontId="1" fillId="0" borderId="12" xfId="0" applyNumberFormat="1" applyFont="1" applyBorder="1" applyAlignment="1" applyProtection="1">
      <alignment horizontal="right" vertical="center"/>
    </xf>
    <xf numFmtId="0" fontId="1" fillId="0" borderId="38" xfId="0" applyFont="1" applyBorder="1" applyAlignment="1" applyProtection="1">
      <alignment horizontal="center" vertical="center" wrapText="1"/>
    </xf>
    <xf numFmtId="0" fontId="1" fillId="0" borderId="12" xfId="0" applyFont="1" applyBorder="1" applyAlignment="1" applyProtection="1">
      <alignment vertical="center"/>
    </xf>
    <xf numFmtId="0" fontId="4" fillId="0" borderId="2" xfId="0" applyFont="1" applyBorder="1" applyAlignment="1" applyProtection="1">
      <alignment horizontal="left" vertical="center"/>
    </xf>
    <xf numFmtId="0" fontId="4" fillId="0" borderId="2" xfId="0" applyFont="1" applyBorder="1" applyAlignment="1" applyProtection="1">
      <alignment vertical="center"/>
    </xf>
    <xf numFmtId="0" fontId="73" fillId="0" borderId="0" xfId="0" applyFont="1" applyBorder="1" applyAlignment="1" applyProtection="1">
      <alignment horizontal="right" vertical="center"/>
    </xf>
    <xf numFmtId="0" fontId="14" fillId="0" borderId="0" xfId="0" applyFont="1" applyBorder="1" applyAlignment="1">
      <alignment horizontal="right" vertical="center"/>
    </xf>
    <xf numFmtId="181" fontId="34" fillId="0" borderId="79" xfId="0" applyNumberFormat="1" applyFont="1" applyBorder="1" applyAlignment="1" applyProtection="1">
      <alignment horizontal="left" vertical="center"/>
    </xf>
    <xf numFmtId="0" fontId="34" fillId="0" borderId="6" xfId="0" applyFont="1" applyBorder="1" applyAlignment="1" applyProtection="1">
      <alignment horizontal="left" vertical="center"/>
    </xf>
    <xf numFmtId="0" fontId="16" fillId="0" borderId="6" xfId="0" applyFont="1" applyBorder="1" applyAlignment="1" applyProtection="1">
      <alignment vertical="center"/>
    </xf>
    <xf numFmtId="0" fontId="34" fillId="0" borderId="28" xfId="0" applyFont="1" applyBorder="1" applyAlignment="1" applyProtection="1">
      <alignment horizontal="left" vertical="center"/>
    </xf>
    <xf numFmtId="0" fontId="16" fillId="0" borderId="28" xfId="0" applyFont="1" applyBorder="1" applyAlignment="1" applyProtection="1">
      <alignment vertical="center"/>
    </xf>
    <xf numFmtId="49" fontId="14" fillId="0" borderId="26" xfId="0" applyNumberFormat="1" applyFont="1" applyBorder="1" applyAlignment="1" applyProtection="1">
      <alignment vertical="center"/>
    </xf>
    <xf numFmtId="49" fontId="34" fillId="0" borderId="6" xfId="0" applyNumberFormat="1" applyFont="1" applyBorder="1" applyAlignment="1" applyProtection="1">
      <alignment vertical="center"/>
    </xf>
    <xf numFmtId="0" fontId="16" fillId="0" borderId="12" xfId="0" applyFont="1" applyBorder="1" applyAlignment="1" applyProtection="1">
      <alignment horizontal="left" vertical="center"/>
    </xf>
    <xf numFmtId="0" fontId="41" fillId="0" borderId="2" xfId="0" applyFont="1" applyBorder="1" applyAlignment="1">
      <alignment horizontal="right" vertical="center"/>
    </xf>
    <xf numFmtId="0" fontId="41" fillId="0" borderId="0" xfId="0" applyFont="1" applyBorder="1" applyAlignment="1">
      <alignment horizontal="right" vertical="center"/>
    </xf>
    <xf numFmtId="0" fontId="16" fillId="0" borderId="43" xfId="0" applyFont="1" applyBorder="1" applyAlignment="1">
      <alignment horizontal="right" vertical="center"/>
    </xf>
    <xf numFmtId="0" fontId="7" fillId="0" borderId="2" xfId="0" applyFont="1" applyBorder="1" applyAlignment="1">
      <alignment horizontal="center" textRotation="180"/>
    </xf>
    <xf numFmtId="0" fontId="102" fillId="0" borderId="2" xfId="0" applyFont="1" applyBorder="1" applyAlignment="1">
      <alignment horizontal="center" textRotation="180"/>
    </xf>
    <xf numFmtId="0" fontId="102" fillId="0" borderId="9" xfId="0" applyFont="1" applyBorder="1" applyAlignment="1">
      <alignment horizontal="center" textRotation="180"/>
    </xf>
    <xf numFmtId="0" fontId="7" fillId="0" borderId="28" xfId="0" applyFont="1" applyBorder="1" applyAlignment="1">
      <alignment horizontal="center" vertical="center" wrapText="1"/>
    </xf>
    <xf numFmtId="0" fontId="7" fillId="0" borderId="6" xfId="0" applyFont="1" applyBorder="1" applyAlignment="1">
      <alignment horizontal="center" vertical="center" wrapText="1"/>
    </xf>
    <xf numFmtId="0" fontId="7" fillId="0" borderId="35" xfId="0" applyFont="1" applyBorder="1" applyAlignment="1"/>
    <xf numFmtId="0" fontId="14" fillId="0" borderId="10" xfId="0" applyFont="1" applyBorder="1" applyAlignment="1"/>
    <xf numFmtId="44" fontId="7" fillId="0" borderId="79" xfId="0" applyNumberFormat="1" applyFont="1" applyBorder="1" applyAlignment="1">
      <alignment horizontal="center" vertical="center"/>
    </xf>
    <xf numFmtId="44" fontId="7" fillId="0" borderId="37" xfId="0" applyNumberFormat="1" applyFont="1" applyBorder="1" applyAlignment="1">
      <alignment horizontal="center" vertical="center"/>
    </xf>
    <xf numFmtId="44" fontId="7" fillId="0" borderId="38" xfId="0" applyNumberFormat="1" applyFont="1" applyBorder="1" applyAlignment="1">
      <alignment horizontal="center" vertical="center"/>
    </xf>
    <xf numFmtId="44" fontId="7" fillId="0" borderId="28" xfId="0" applyNumberFormat="1" applyFont="1" applyBorder="1" applyAlignment="1">
      <alignment horizontal="center" vertical="center" wrapText="1"/>
    </xf>
    <xf numFmtId="44" fontId="7" fillId="0" borderId="6" xfId="0" applyNumberFormat="1" applyFont="1" applyBorder="1" applyAlignment="1">
      <alignment horizontal="center" vertical="center" wrapText="1"/>
    </xf>
    <xf numFmtId="0" fontId="1" fillId="0" borderId="0" xfId="0" applyFont="1" applyFill="1" applyBorder="1" applyAlignment="1">
      <alignment horizontal="left"/>
    </xf>
    <xf numFmtId="0" fontId="1" fillId="0" borderId="43" xfId="0" applyFont="1" applyFill="1" applyBorder="1" applyAlignment="1">
      <alignment horizontal="left"/>
    </xf>
    <xf numFmtId="0" fontId="7" fillId="0" borderId="0" xfId="0" applyFont="1" applyFill="1" applyBorder="1" applyAlignment="1">
      <alignment horizontal="center"/>
    </xf>
    <xf numFmtId="0" fontId="7" fillId="0" borderId="0" xfId="0" applyFont="1" applyBorder="1" applyAlignment="1">
      <alignment horizontal="center"/>
    </xf>
    <xf numFmtId="0" fontId="1" fillId="0" borderId="0" xfId="0" applyFont="1" applyBorder="1" applyAlignment="1"/>
    <xf numFmtId="14" fontId="16" fillId="2" borderId="79" xfId="0" applyNumberFormat="1" applyFont="1" applyFill="1" applyBorder="1" applyAlignment="1" applyProtection="1">
      <alignment vertical="center"/>
      <protection locked="0"/>
    </xf>
    <xf numFmtId="14" fontId="16" fillId="2" borderId="37" xfId="0" applyNumberFormat="1" applyFont="1" applyFill="1" applyBorder="1" applyAlignment="1" applyProtection="1">
      <alignment vertical="center"/>
      <protection locked="0"/>
    </xf>
    <xf numFmtId="14" fontId="16" fillId="2" borderId="39" xfId="0" applyNumberFormat="1" applyFont="1" applyFill="1" applyBorder="1" applyAlignment="1" applyProtection="1">
      <alignment vertical="center"/>
      <protection locked="0"/>
    </xf>
    <xf numFmtId="0" fontId="1" fillId="0" borderId="0" xfId="0" applyFont="1" applyAlignment="1">
      <alignment horizontal="justify" vertical="center" wrapText="1"/>
    </xf>
    <xf numFmtId="0" fontId="100" fillId="0" borderId="0" xfId="0" applyFont="1" applyAlignment="1">
      <alignment wrapText="1"/>
    </xf>
    <xf numFmtId="0" fontId="7" fillId="0" borderId="0" xfId="0" applyFont="1" applyAlignment="1">
      <alignment horizontal="right"/>
    </xf>
    <xf numFmtId="0" fontId="92" fillId="0" borderId="0" xfId="0" applyFont="1" applyAlignment="1">
      <alignment horizontal="right"/>
    </xf>
    <xf numFmtId="0" fontId="1" fillId="0" borderId="125" xfId="0" applyFont="1" applyBorder="1" applyAlignment="1">
      <alignment horizontal="center"/>
    </xf>
    <xf numFmtId="0" fontId="1" fillId="0" borderId="177" xfId="0" applyFont="1" applyBorder="1" applyAlignment="1">
      <alignment horizontal="center"/>
    </xf>
    <xf numFmtId="0" fontId="1" fillId="0" borderId="35" xfId="0" applyFont="1" applyBorder="1" applyAlignment="1">
      <alignment horizontal="center"/>
    </xf>
    <xf numFmtId="0" fontId="0" fillId="0" borderId="36" xfId="0" applyBorder="1" applyAlignment="1"/>
    <xf numFmtId="0" fontId="1" fillId="0" borderId="36" xfId="0" applyFont="1" applyBorder="1" applyAlignment="1">
      <alignment horizontal="center"/>
    </xf>
    <xf numFmtId="0" fontId="1" fillId="0" borderId="189" xfId="0" applyFont="1" applyBorder="1" applyAlignment="1">
      <alignment horizontal="center"/>
    </xf>
    <xf numFmtId="0" fontId="1" fillId="0" borderId="91" xfId="0" quotePrefix="1" applyFont="1" applyBorder="1" applyAlignment="1">
      <alignment horizontal="center"/>
    </xf>
    <xf numFmtId="0" fontId="7" fillId="0" borderId="196" xfId="0" applyFont="1" applyBorder="1" applyAlignment="1">
      <alignment horizontal="center"/>
    </xf>
    <xf numFmtId="0" fontId="7" fillId="0" borderId="38" xfId="0" applyFont="1" applyBorder="1" applyAlignment="1">
      <alignment horizontal="center"/>
    </xf>
    <xf numFmtId="0" fontId="7" fillId="0" borderId="79" xfId="0" applyFont="1" applyBorder="1" applyAlignment="1">
      <alignment horizontal="center"/>
    </xf>
    <xf numFmtId="0" fontId="0" fillId="0" borderId="38" xfId="0" applyBorder="1" applyAlignment="1"/>
    <xf numFmtId="171" fontId="7" fillId="0" borderId="208" xfId="0" applyNumberFormat="1" applyFont="1" applyBorder="1" applyAlignment="1">
      <alignment horizontal="center"/>
    </xf>
    <xf numFmtId="0" fontId="7" fillId="0" borderId="59" xfId="0" applyFont="1" applyBorder="1" applyAlignment="1">
      <alignment horizontal="center"/>
    </xf>
    <xf numFmtId="0" fontId="7" fillId="0" borderId="67" xfId="0" applyFont="1" applyBorder="1" applyAlignment="1">
      <alignment horizontal="center"/>
    </xf>
    <xf numFmtId="0" fontId="1" fillId="0" borderId="59" xfId="0" applyFont="1" applyBorder="1" applyAlignment="1">
      <alignment horizontal="center"/>
    </xf>
    <xf numFmtId="0" fontId="1" fillId="0" borderId="67" xfId="0" applyFont="1" applyBorder="1" applyAlignment="1">
      <alignment horizontal="center"/>
    </xf>
    <xf numFmtId="0" fontId="15" fillId="0" borderId="8" xfId="0" applyFont="1" applyBorder="1" applyAlignment="1">
      <alignment horizontal="right" vertical="center"/>
    </xf>
    <xf numFmtId="0" fontId="15" fillId="0" borderId="4" xfId="0" applyFont="1" applyBorder="1" applyAlignment="1">
      <alignment horizontal="right" vertical="center"/>
    </xf>
    <xf numFmtId="1" fontId="15" fillId="0" borderId="4" xfId="0" applyNumberFormat="1" applyFont="1" applyBorder="1" applyAlignment="1" applyProtection="1">
      <alignment horizontal="right" vertical="center"/>
    </xf>
    <xf numFmtId="0" fontId="0" fillId="0" borderId="4" xfId="0" applyBorder="1" applyAlignment="1">
      <alignment horizontal="right" vertical="center"/>
    </xf>
    <xf numFmtId="0" fontId="17" fillId="0" borderId="79" xfId="0" applyFont="1" applyBorder="1" applyAlignment="1">
      <alignment horizontal="center" vertical="center" wrapText="1"/>
    </xf>
    <xf numFmtId="0" fontId="0" fillId="0" borderId="38" xfId="0" applyBorder="1" applyAlignment="1">
      <alignment horizontal="center" vertical="center" wrapText="1"/>
    </xf>
    <xf numFmtId="0" fontId="17" fillId="0" borderId="12" xfId="0" applyFont="1" applyBorder="1" applyAlignment="1">
      <alignment horizontal="center" vertical="center"/>
    </xf>
    <xf numFmtId="0" fontId="0" fillId="0" borderId="12" xfId="0" applyBorder="1" applyAlignment="1"/>
    <xf numFmtId="0" fontId="7" fillId="0" borderId="112" xfId="0" applyFont="1" applyBorder="1" applyAlignment="1">
      <alignment horizontal="center"/>
    </xf>
    <xf numFmtId="0" fontId="92" fillId="0" borderId="112" xfId="0" applyFont="1" applyBorder="1" applyAlignment="1">
      <alignment horizontal="center"/>
    </xf>
    <xf numFmtId="0" fontId="7" fillId="0" borderId="27" xfId="0" applyFont="1" applyBorder="1" applyAlignment="1">
      <alignment horizontal="center" vertical="center" wrapText="1"/>
    </xf>
    <xf numFmtId="0" fontId="0" fillId="0" borderId="34" xfId="0" applyBorder="1" applyAlignment="1">
      <alignment horizontal="center" vertical="center" wrapText="1"/>
    </xf>
    <xf numFmtId="0" fontId="92" fillId="0" borderId="6" xfId="0" applyFont="1" applyBorder="1" applyAlignment="1">
      <alignment horizontal="center" vertical="center" wrapText="1"/>
    </xf>
    <xf numFmtId="0" fontId="0" fillId="0" borderId="6" xfId="0" applyBorder="1" applyAlignment="1">
      <alignment horizontal="center" vertical="center"/>
    </xf>
    <xf numFmtId="0" fontId="17" fillId="0" borderId="114" xfId="0" applyFont="1" applyBorder="1" applyAlignment="1">
      <alignment horizontal="center" vertical="center" wrapText="1"/>
    </xf>
    <xf numFmtId="0" fontId="0" fillId="0" borderId="80" xfId="0" applyBorder="1" applyAlignment="1"/>
    <xf numFmtId="0" fontId="17" fillId="0" borderId="12" xfId="0" applyFont="1" applyBorder="1" applyAlignment="1">
      <alignment horizontal="center" vertical="center" wrapText="1"/>
    </xf>
    <xf numFmtId="0" fontId="16" fillId="0" borderId="79" xfId="0" applyFont="1" applyFill="1" applyBorder="1" applyAlignment="1">
      <alignment horizontal="center" vertical="center" wrapText="1"/>
    </xf>
    <xf numFmtId="0" fontId="16" fillId="0" borderId="37" xfId="0" applyFont="1" applyBorder="1" applyAlignment="1">
      <alignment horizontal="center" vertical="center" wrapText="1"/>
    </xf>
    <xf numFmtId="0" fontId="16" fillId="0" borderId="38" xfId="0" applyFont="1" applyBorder="1" applyAlignment="1">
      <alignment horizontal="center" vertical="center" wrapText="1"/>
    </xf>
    <xf numFmtId="0" fontId="0" fillId="0" borderId="12" xfId="0" applyBorder="1" applyAlignment="1">
      <alignment wrapText="1"/>
    </xf>
    <xf numFmtId="0" fontId="7" fillId="0" borderId="122" xfId="0" applyFont="1" applyFill="1" applyBorder="1" applyAlignment="1">
      <alignment horizontal="center" wrapText="1"/>
    </xf>
    <xf numFmtId="0" fontId="92" fillId="0" borderId="44" xfId="0" applyFont="1" applyBorder="1" applyAlignment="1">
      <alignment wrapText="1"/>
    </xf>
    <xf numFmtId="0" fontId="0" fillId="0" borderId="6" xfId="0" applyBorder="1" applyAlignment="1">
      <alignment wrapText="1"/>
    </xf>
    <xf numFmtId="0" fontId="0" fillId="0" borderId="38" xfId="0" applyBorder="1" applyAlignment="1">
      <alignment wrapText="1"/>
    </xf>
    <xf numFmtId="0" fontId="7" fillId="0" borderId="79"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12" xfId="0" applyFont="1" applyBorder="1" applyAlignment="1">
      <alignment horizontal="center" vertical="center" wrapText="1"/>
    </xf>
    <xf numFmtId="0" fontId="17" fillId="0" borderId="44" xfId="0" applyFont="1" applyBorder="1" applyAlignment="1">
      <alignment horizontal="center" vertical="center" wrapText="1"/>
    </xf>
    <xf numFmtId="0" fontId="14" fillId="0" borderId="79" xfId="0" applyFont="1" applyBorder="1" applyAlignment="1">
      <alignment vertical="center"/>
    </xf>
    <xf numFmtId="0" fontId="14" fillId="0" borderId="38" xfId="0" applyFont="1" applyBorder="1" applyAlignment="1">
      <alignment vertical="center"/>
    </xf>
    <xf numFmtId="0" fontId="17" fillId="0" borderId="18" xfId="0" applyFont="1" applyBorder="1" applyAlignment="1">
      <alignment horizontal="right" vertical="center"/>
    </xf>
    <xf numFmtId="0" fontId="17" fillId="0" borderId="13" xfId="0" applyFont="1" applyBorder="1" applyAlignment="1">
      <alignment horizontal="right" vertical="center"/>
    </xf>
    <xf numFmtId="0" fontId="17" fillId="0" borderId="110" xfId="0" applyFont="1" applyBorder="1" applyAlignment="1">
      <alignment horizontal="right" vertical="center"/>
    </xf>
    <xf numFmtId="0" fontId="20" fillId="2" borderId="52" xfId="0" applyFont="1" applyFill="1" applyBorder="1" applyAlignment="1" applyProtection="1">
      <alignment vertical="center"/>
      <protection locked="0"/>
    </xf>
    <xf numFmtId="0" fontId="20" fillId="2" borderId="174" xfId="0" applyFont="1" applyFill="1" applyBorder="1" applyAlignment="1" applyProtection="1">
      <alignment vertical="center"/>
      <protection locked="0"/>
    </xf>
    <xf numFmtId="0" fontId="20" fillId="2" borderId="32" xfId="0" applyFont="1" applyFill="1" applyBorder="1" applyAlignment="1" applyProtection="1">
      <alignment vertical="center"/>
      <protection locked="0"/>
    </xf>
    <xf numFmtId="0" fontId="20" fillId="2" borderId="33" xfId="0" applyFont="1" applyFill="1" applyBorder="1" applyAlignment="1" applyProtection="1">
      <alignment vertical="center"/>
      <protection locked="0"/>
    </xf>
    <xf numFmtId="0" fontId="20" fillId="2" borderId="172" xfId="0" applyFont="1" applyFill="1" applyBorder="1" applyAlignment="1" applyProtection="1">
      <alignment vertical="center"/>
      <protection locked="0"/>
    </xf>
    <xf numFmtId="0" fontId="20" fillId="2" borderId="173" xfId="0" applyFont="1" applyFill="1" applyBorder="1" applyAlignment="1" applyProtection="1">
      <alignment vertical="center"/>
      <protection locked="0"/>
    </xf>
    <xf numFmtId="0" fontId="7" fillId="0" borderId="8" xfId="0" applyFont="1" applyBorder="1" applyAlignment="1">
      <alignment horizontal="right" vertical="center"/>
    </xf>
    <xf numFmtId="0" fontId="7" fillId="0" borderId="4" xfId="0" applyFont="1" applyBorder="1" applyAlignment="1">
      <alignment horizontal="right" vertical="center"/>
    </xf>
    <xf numFmtId="0" fontId="20" fillId="2" borderId="40" xfId="0" applyFont="1" applyFill="1" applyBorder="1" applyAlignment="1" applyProtection="1">
      <alignment vertical="center"/>
      <protection locked="0"/>
    </xf>
    <xf numFmtId="0" fontId="14" fillId="0" borderId="79"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20" fillId="2" borderId="176" xfId="0" applyFont="1" applyFill="1" applyBorder="1" applyAlignment="1" applyProtection="1">
      <alignment vertical="center"/>
      <protection locked="0"/>
    </xf>
    <xf numFmtId="0" fontId="20" fillId="2" borderId="175" xfId="0" applyFont="1" applyFill="1" applyBorder="1" applyAlignment="1" applyProtection="1">
      <alignment vertical="center"/>
      <protection locked="0"/>
    </xf>
    <xf numFmtId="178" fontId="1" fillId="0" borderId="89" xfId="0" applyNumberFormat="1" applyFont="1" applyBorder="1" applyAlignment="1">
      <alignment horizontal="center"/>
    </xf>
    <xf numFmtId="183" fontId="7" fillId="0" borderId="10" xfId="0" applyNumberFormat="1" applyFont="1" applyBorder="1" applyAlignment="1">
      <alignment horizontal="left"/>
    </xf>
    <xf numFmtId="0" fontId="16" fillId="0" borderId="0" xfId="0" applyFont="1" applyAlignment="1">
      <alignment horizontal="left"/>
    </xf>
    <xf numFmtId="184" fontId="118" fillId="0" borderId="125" xfId="0" applyNumberFormat="1" applyFont="1" applyBorder="1" applyAlignment="1">
      <alignment horizontal="left"/>
    </xf>
    <xf numFmtId="0" fontId="118" fillId="0" borderId="0" xfId="0" applyFont="1"/>
    <xf numFmtId="178" fontId="118" fillId="0" borderId="0" xfId="0" applyNumberFormat="1" applyFont="1" applyAlignment="1">
      <alignment horizontal="left"/>
    </xf>
    <xf numFmtId="178" fontId="121" fillId="0" borderId="0" xfId="0" applyNumberFormat="1" applyFont="1" applyAlignment="1">
      <alignment horizontal="left"/>
    </xf>
    <xf numFmtId="44" fontId="20" fillId="2" borderId="28" xfId="1" applyFont="1" applyFill="1" applyBorder="1" applyProtection="1">
      <protection locked="0"/>
    </xf>
    <xf numFmtId="2" fontId="20" fillId="2" borderId="28" xfId="0" applyNumberFormat="1" applyFont="1" applyFill="1" applyBorder="1" applyProtection="1">
      <protection locked="0"/>
    </xf>
    <xf numFmtId="2" fontId="20" fillId="2" borderId="44" xfId="0" applyNumberFormat="1" applyFont="1" applyFill="1" applyBorder="1" applyAlignment="1" applyProtection="1">
      <alignment vertical="center"/>
      <protection locked="0"/>
    </xf>
    <xf numFmtId="44" fontId="20" fillId="2" borderId="219" xfId="1" applyFont="1" applyFill="1" applyBorder="1" applyAlignment="1" applyProtection="1">
      <alignment vertical="center"/>
      <protection locked="0"/>
    </xf>
    <xf numFmtId="44" fontId="7" fillId="0" borderId="223" xfId="1" applyFont="1" applyBorder="1" applyAlignment="1">
      <alignment horizontal="right" vertical="center"/>
    </xf>
    <xf numFmtId="1" fontId="20" fillId="2" borderId="28" xfId="0" applyNumberFormat="1" applyFont="1" applyFill="1" applyBorder="1" applyAlignment="1" applyProtection="1">
      <alignment vertical="center"/>
      <protection locked="0"/>
    </xf>
    <xf numFmtId="1" fontId="20" fillId="2" borderId="31" xfId="0" applyNumberFormat="1" applyFont="1" applyFill="1" applyBorder="1" applyAlignment="1" applyProtection="1">
      <alignment vertical="center"/>
      <protection locked="0"/>
    </xf>
    <xf numFmtId="1" fontId="20" fillId="2" borderId="44" xfId="0" applyNumberFormat="1" applyFont="1" applyFill="1" applyBorder="1" applyAlignment="1" applyProtection="1">
      <alignment vertical="center"/>
      <protection locked="0"/>
    </xf>
  </cellXfs>
  <cellStyles count="19">
    <cellStyle name="Currency" xfId="1" builtinId="4"/>
    <cellStyle name="Date" xfId="2"/>
    <cellStyle name="F2" xfId="3"/>
    <cellStyle name="F3" xfId="4"/>
    <cellStyle name="F4" xfId="5"/>
    <cellStyle name="F5" xfId="6"/>
    <cellStyle name="F6" xfId="7"/>
    <cellStyle name="F7" xfId="8"/>
    <cellStyle name="F8" xfId="9"/>
    <cellStyle name="Fixed" xfId="10"/>
    <cellStyle name="Heading1" xfId="11"/>
    <cellStyle name="Heading2" xfId="12"/>
    <cellStyle name="Hyperlink" xfId="13" builtinId="8"/>
    <cellStyle name="Normal" xfId="0" builtinId="0"/>
    <cellStyle name="Normal_Book2" xfId="14"/>
    <cellStyle name="Normal_EstEng0408" xfId="15"/>
    <cellStyle name="Normal_Typing, Duplicating, &amp; Printing" xfId="18"/>
    <cellStyle name="Percent" xfId="16" builtinId="5"/>
    <cellStyle name="Total" xfId="17" builtinId="25" customBuiltin="1"/>
  </cellStyles>
  <dxfs count="5">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2" defaultPivotStyle="PivotStyleLight16"/>
  <colors>
    <mruColors>
      <color rgb="FFFFFF99"/>
      <color rgb="FF0000FF"/>
      <color rgb="FF33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0</xdr:colOff>
      <xdr:row>45</xdr:row>
      <xdr:rowOff>257175</xdr:rowOff>
    </xdr:from>
    <xdr:to>
      <xdr:col>6</xdr:col>
      <xdr:colOff>0</xdr:colOff>
      <xdr:row>51</xdr:row>
      <xdr:rowOff>161925</xdr:rowOff>
    </xdr:to>
    <xdr:sp macro="" textlink="">
      <xdr:nvSpPr>
        <xdr:cNvPr id="3296" name="AutoShape 17"/>
        <xdr:cNvSpPr>
          <a:spLocks noChangeArrowheads="1"/>
        </xdr:cNvSpPr>
      </xdr:nvSpPr>
      <xdr:spPr bwMode="auto">
        <a:xfrm>
          <a:off x="7810500" y="11630025"/>
          <a:ext cx="0" cy="2695575"/>
        </a:xfrm>
        <a:prstGeom prst="upDownArrow">
          <a:avLst>
            <a:gd name="adj1" fmla="val 50000"/>
            <a:gd name="adj2" fmla="val -2147483648"/>
          </a:avLst>
        </a:prstGeom>
        <a:solidFill>
          <a:srgbClr xmlns:mc="http://schemas.openxmlformats.org/markup-compatibility/2006" xmlns:a14="http://schemas.microsoft.com/office/drawing/2010/main" val="00FF00" mc:Ignorable="a14" a14:legacySpreadsheetColorIndex="11"/>
        </a:solidFill>
        <a:ln w="9525">
          <a:solidFill>
            <a:srgbClr xmlns:mc="http://schemas.openxmlformats.org/markup-compatibility/2006" xmlns:a14="http://schemas.microsoft.com/office/drawing/2010/main" val="008000" mc:Ignorable="a14" a14:legacySpreadsheetColorIndex="17"/>
          </a:solidFill>
          <a:miter lim="800000"/>
          <a:headEnd/>
          <a:tailEnd/>
        </a:ln>
      </xdr:spPr>
    </xdr:sp>
    <xdr:clientData/>
  </xdr:twoCellAnchor>
  <xdr:twoCellAnchor>
    <xdr:from>
      <xdr:col>7</xdr:col>
      <xdr:colOff>0</xdr:colOff>
      <xdr:row>47</xdr:row>
      <xdr:rowOff>304800</xdr:rowOff>
    </xdr:from>
    <xdr:to>
      <xdr:col>7</xdr:col>
      <xdr:colOff>0</xdr:colOff>
      <xdr:row>52</xdr:row>
      <xdr:rowOff>323850</xdr:rowOff>
    </xdr:to>
    <xdr:sp macro="" textlink="">
      <xdr:nvSpPr>
        <xdr:cNvPr id="3297" name="AutoShape 18"/>
        <xdr:cNvSpPr>
          <a:spLocks noChangeArrowheads="1"/>
        </xdr:cNvSpPr>
      </xdr:nvSpPr>
      <xdr:spPr bwMode="auto">
        <a:xfrm>
          <a:off x="9286875" y="12449175"/>
          <a:ext cx="0" cy="2419350"/>
        </a:xfrm>
        <a:prstGeom prst="upDownArrow">
          <a:avLst>
            <a:gd name="adj1" fmla="val 50000"/>
            <a:gd name="adj2" fmla="val -2147483648"/>
          </a:avLst>
        </a:prstGeom>
        <a:solidFill>
          <a:srgbClr xmlns:mc="http://schemas.openxmlformats.org/markup-compatibility/2006" xmlns:a14="http://schemas.microsoft.com/office/drawing/2010/main" val="FF9900" mc:Ignorable="a14" a14:legacySpreadsheetColorIndex="52"/>
        </a:solidFill>
        <a:ln w="9525">
          <a:solidFill>
            <a:srgbClr xmlns:mc="http://schemas.openxmlformats.org/markup-compatibility/2006" xmlns:a14="http://schemas.microsoft.com/office/drawing/2010/main" val="FF0000" mc:Ignorable="a14" a14:legacySpreadsheetColorIndex="10"/>
          </a:solidFill>
          <a:miter lim="800000"/>
          <a:headEnd/>
          <a:tailEnd/>
        </a:ln>
      </xdr:spPr>
    </xdr:sp>
    <xdr:clientData/>
  </xdr:twoCellAnchor>
  <xdr:twoCellAnchor>
    <xdr:from>
      <xdr:col>1</xdr:col>
      <xdr:colOff>180975</xdr:colOff>
      <xdr:row>1</xdr:row>
      <xdr:rowOff>123825</xdr:rowOff>
    </xdr:from>
    <xdr:to>
      <xdr:col>3</xdr:col>
      <xdr:colOff>1704975</xdr:colOff>
      <xdr:row>3</xdr:row>
      <xdr:rowOff>247650</xdr:rowOff>
    </xdr:to>
    <xdr:pic>
      <xdr:nvPicPr>
        <xdr:cNvPr id="3298" name="Picture 129"/>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77975" y="784225"/>
          <a:ext cx="2514600" cy="78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45</xdr:row>
      <xdr:rowOff>257175</xdr:rowOff>
    </xdr:from>
    <xdr:to>
      <xdr:col>6</xdr:col>
      <xdr:colOff>0</xdr:colOff>
      <xdr:row>51</xdr:row>
      <xdr:rowOff>161925</xdr:rowOff>
    </xdr:to>
    <xdr:sp macro="" textlink="">
      <xdr:nvSpPr>
        <xdr:cNvPr id="17438" name="AutoShape 2"/>
        <xdr:cNvSpPr>
          <a:spLocks noChangeArrowheads="1"/>
        </xdr:cNvSpPr>
      </xdr:nvSpPr>
      <xdr:spPr bwMode="auto">
        <a:xfrm>
          <a:off x="7810500" y="11601450"/>
          <a:ext cx="0" cy="2695575"/>
        </a:xfrm>
        <a:prstGeom prst="upDownArrow">
          <a:avLst>
            <a:gd name="adj1" fmla="val 50000"/>
            <a:gd name="adj2" fmla="val -2147483648"/>
          </a:avLst>
        </a:prstGeom>
        <a:solidFill>
          <a:srgbClr xmlns:mc="http://schemas.openxmlformats.org/markup-compatibility/2006" xmlns:a14="http://schemas.microsoft.com/office/drawing/2010/main" val="00FF00" mc:Ignorable="a14" a14:legacySpreadsheetColorIndex="11"/>
        </a:solidFill>
        <a:ln w="9525">
          <a:solidFill>
            <a:srgbClr xmlns:mc="http://schemas.openxmlformats.org/markup-compatibility/2006" xmlns:a14="http://schemas.microsoft.com/office/drawing/2010/main" val="008000" mc:Ignorable="a14" a14:legacySpreadsheetColorIndex="17"/>
          </a:solidFill>
          <a:miter lim="800000"/>
          <a:headEnd/>
          <a:tailEnd/>
        </a:ln>
      </xdr:spPr>
    </xdr:sp>
    <xdr:clientData/>
  </xdr:twoCellAnchor>
  <xdr:twoCellAnchor>
    <xdr:from>
      <xdr:col>7</xdr:col>
      <xdr:colOff>0</xdr:colOff>
      <xdr:row>47</xdr:row>
      <xdr:rowOff>304800</xdr:rowOff>
    </xdr:from>
    <xdr:to>
      <xdr:col>7</xdr:col>
      <xdr:colOff>0</xdr:colOff>
      <xdr:row>52</xdr:row>
      <xdr:rowOff>323850</xdr:rowOff>
    </xdr:to>
    <xdr:sp macro="" textlink="">
      <xdr:nvSpPr>
        <xdr:cNvPr id="17439" name="AutoShape 3"/>
        <xdr:cNvSpPr>
          <a:spLocks noChangeArrowheads="1"/>
        </xdr:cNvSpPr>
      </xdr:nvSpPr>
      <xdr:spPr bwMode="auto">
        <a:xfrm>
          <a:off x="9286875" y="12420600"/>
          <a:ext cx="0" cy="2419350"/>
        </a:xfrm>
        <a:prstGeom prst="upDownArrow">
          <a:avLst>
            <a:gd name="adj1" fmla="val 50000"/>
            <a:gd name="adj2" fmla="val -2147483648"/>
          </a:avLst>
        </a:prstGeom>
        <a:solidFill>
          <a:srgbClr xmlns:mc="http://schemas.openxmlformats.org/markup-compatibility/2006" xmlns:a14="http://schemas.microsoft.com/office/drawing/2010/main" val="FF9900" mc:Ignorable="a14" a14:legacySpreadsheetColorIndex="52"/>
        </a:solidFill>
        <a:ln w="9525">
          <a:solidFill>
            <a:srgbClr xmlns:mc="http://schemas.openxmlformats.org/markup-compatibility/2006" xmlns:a14="http://schemas.microsoft.com/office/drawing/2010/main" val="FF0000" mc:Ignorable="a14" a14:legacySpreadsheetColorIndex="10"/>
          </a:solidFill>
          <a:miter lim="800000"/>
          <a:headEnd/>
          <a:tailEnd/>
        </a:ln>
      </xdr:spPr>
    </xdr:sp>
    <xdr:clientData/>
  </xdr:twoCellAnchor>
  <xdr:twoCellAnchor>
    <xdr:from>
      <xdr:col>0</xdr:col>
      <xdr:colOff>1171575</xdr:colOff>
      <xdr:row>1</xdr:row>
      <xdr:rowOff>200025</xdr:rowOff>
    </xdr:from>
    <xdr:to>
      <xdr:col>3</xdr:col>
      <xdr:colOff>1298575</xdr:colOff>
      <xdr:row>3</xdr:row>
      <xdr:rowOff>323850</xdr:rowOff>
    </xdr:to>
    <xdr:pic>
      <xdr:nvPicPr>
        <xdr:cNvPr id="17440" name="Picture 9"/>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71575" y="898525"/>
          <a:ext cx="2514600" cy="78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3.xml><?xml version="1.0" encoding="utf-8"?>
<xdr:wsDr xmlns:xdr="http://schemas.openxmlformats.org/drawingml/2006/spreadsheetDrawing" xmlns:a="http://schemas.openxmlformats.org/drawingml/2006/main">
  <xdr:twoCellAnchor>
    <xdr:from>
      <xdr:col>0</xdr:col>
      <xdr:colOff>866775</xdr:colOff>
      <xdr:row>0</xdr:row>
      <xdr:rowOff>76200</xdr:rowOff>
    </xdr:from>
    <xdr:to>
      <xdr:col>3</xdr:col>
      <xdr:colOff>114300</xdr:colOff>
      <xdr:row>1</xdr:row>
      <xdr:rowOff>314325</xdr:rowOff>
    </xdr:to>
    <xdr:pic>
      <xdr:nvPicPr>
        <xdr:cNvPr id="14696" name="Picture 17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6775" y="76200"/>
          <a:ext cx="2581275"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4.xml><?xml version="1.0" encoding="utf-8"?>
<xdr:wsDr xmlns:xdr="http://schemas.openxmlformats.org/drawingml/2006/spreadsheetDrawing" xmlns:a="http://schemas.openxmlformats.org/drawingml/2006/main">
  <xdr:twoCellAnchor>
    <xdr:from>
      <xdr:col>0</xdr:col>
      <xdr:colOff>1019175</xdr:colOff>
      <xdr:row>0</xdr:row>
      <xdr:rowOff>104775</xdr:rowOff>
    </xdr:from>
    <xdr:to>
      <xdr:col>3</xdr:col>
      <xdr:colOff>95250</xdr:colOff>
      <xdr:row>2</xdr:row>
      <xdr:rowOff>47625</xdr:rowOff>
    </xdr:to>
    <xdr:pic>
      <xdr:nvPicPr>
        <xdr:cNvPr id="15476"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104775"/>
          <a:ext cx="248602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5.xml><?xml version="1.0" encoding="utf-8"?>
<xdr:wsDr xmlns:xdr="http://schemas.openxmlformats.org/drawingml/2006/spreadsheetDrawing" xmlns:a="http://schemas.openxmlformats.org/drawingml/2006/main">
  <xdr:twoCellAnchor>
    <xdr:from>
      <xdr:col>8</xdr:col>
      <xdr:colOff>9525</xdr:colOff>
      <xdr:row>4</xdr:row>
      <xdr:rowOff>9525</xdr:rowOff>
    </xdr:from>
    <xdr:to>
      <xdr:col>9</xdr:col>
      <xdr:colOff>0</xdr:colOff>
      <xdr:row>4</xdr:row>
      <xdr:rowOff>314325</xdr:rowOff>
    </xdr:to>
    <xdr:sp macro="" textlink="">
      <xdr:nvSpPr>
        <xdr:cNvPr id="5129" name="Line 3"/>
        <xdr:cNvSpPr>
          <a:spLocks noChangeShapeType="1"/>
        </xdr:cNvSpPr>
      </xdr:nvSpPr>
      <xdr:spPr bwMode="auto">
        <a:xfrm flipH="1">
          <a:off x="6638925" y="1438275"/>
          <a:ext cx="885825"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xdr:row>
      <xdr:rowOff>28575</xdr:rowOff>
    </xdr:from>
    <xdr:to>
      <xdr:col>9</xdr:col>
      <xdr:colOff>47625</xdr:colOff>
      <xdr:row>5</xdr:row>
      <xdr:rowOff>0</xdr:rowOff>
    </xdr:to>
    <xdr:sp macro="" textlink="">
      <xdr:nvSpPr>
        <xdr:cNvPr id="5130" name="Line 4"/>
        <xdr:cNvSpPr>
          <a:spLocks noChangeShapeType="1"/>
        </xdr:cNvSpPr>
      </xdr:nvSpPr>
      <xdr:spPr bwMode="auto">
        <a:xfrm>
          <a:off x="6629400" y="1457325"/>
          <a:ext cx="942975" cy="3143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91440" tIns="45720" rIns="91440" bIns="4572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91440" tIns="45720" rIns="91440" bIns="4572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B116"/>
  <sheetViews>
    <sheetView topLeftCell="A66" workbookViewId="0">
      <selection activeCell="E66" sqref="E66"/>
    </sheetView>
  </sheetViews>
  <sheetFormatPr defaultRowHeight="15" x14ac:dyDescent="0.2"/>
  <cols>
    <col min="1" max="1" width="5" customWidth="1"/>
    <col min="2" max="2" width="71.21875" customWidth="1"/>
  </cols>
  <sheetData>
    <row r="1" spans="1:2" ht="47.25" x14ac:dyDescent="0.2">
      <c r="A1" s="18"/>
      <c r="B1" s="21" t="s">
        <v>211</v>
      </c>
    </row>
    <row r="2" spans="1:2" x14ac:dyDescent="0.2">
      <c r="A2" s="18"/>
      <c r="B2" s="18"/>
    </row>
    <row r="3" spans="1:2" x14ac:dyDescent="0.2">
      <c r="A3" s="18"/>
      <c r="B3" s="22" t="s">
        <v>128</v>
      </c>
    </row>
    <row r="4" spans="1:2" x14ac:dyDescent="0.2">
      <c r="A4" s="18"/>
      <c r="B4" s="18"/>
    </row>
    <row r="5" spans="1:2" x14ac:dyDescent="0.2">
      <c r="A5" s="18"/>
      <c r="B5" s="22" t="s">
        <v>126</v>
      </c>
    </row>
    <row r="6" spans="1:2" x14ac:dyDescent="0.2">
      <c r="A6" s="18"/>
      <c r="B6" s="22"/>
    </row>
    <row r="7" spans="1:2" ht="38.25" x14ac:dyDescent="0.2">
      <c r="A7" s="19">
        <v>1</v>
      </c>
      <c r="B7" s="16" t="s">
        <v>169</v>
      </c>
    </row>
    <row r="8" spans="1:2" x14ac:dyDescent="0.2">
      <c r="A8" s="19"/>
    </row>
    <row r="9" spans="1:2" ht="51" x14ac:dyDescent="0.2">
      <c r="A9" s="19">
        <v>2</v>
      </c>
      <c r="B9" s="20" t="s">
        <v>145</v>
      </c>
    </row>
    <row r="10" spans="1:2" x14ac:dyDescent="0.2">
      <c r="A10" s="19"/>
      <c r="B10" s="20"/>
    </row>
    <row r="11" spans="1:2" ht="25.5" x14ac:dyDescent="0.2">
      <c r="A11" s="19">
        <f>A9+1</f>
        <v>3</v>
      </c>
      <c r="B11" s="16" t="s">
        <v>117</v>
      </c>
    </row>
    <row r="12" spans="1:2" x14ac:dyDescent="0.2">
      <c r="A12" s="19"/>
      <c r="B12" s="16"/>
    </row>
    <row r="13" spans="1:2" ht="25.5" x14ac:dyDescent="0.2">
      <c r="A13" s="19">
        <f>A11+1</f>
        <v>4</v>
      </c>
      <c r="B13" s="16" t="s">
        <v>118</v>
      </c>
    </row>
    <row r="14" spans="1:2" x14ac:dyDescent="0.2">
      <c r="A14" s="19"/>
      <c r="B14" s="16"/>
    </row>
    <row r="15" spans="1:2" ht="25.5" x14ac:dyDescent="0.2">
      <c r="A15" s="19">
        <f>A13+1</f>
        <v>5</v>
      </c>
      <c r="B15" s="20" t="s">
        <v>119</v>
      </c>
    </row>
    <row r="16" spans="1:2" x14ac:dyDescent="0.2">
      <c r="A16" s="19"/>
      <c r="B16" s="20"/>
    </row>
    <row r="17" spans="1:2" ht="25.5" x14ac:dyDescent="0.2">
      <c r="A17" s="19">
        <f>A15+1</f>
        <v>6</v>
      </c>
      <c r="B17" s="16" t="s">
        <v>120</v>
      </c>
    </row>
    <row r="18" spans="1:2" x14ac:dyDescent="0.2">
      <c r="A18" s="19"/>
      <c r="B18" s="18"/>
    </row>
    <row r="19" spans="1:2" ht="51" x14ac:dyDescent="0.2">
      <c r="A19" s="19">
        <f>A17+1</f>
        <v>7</v>
      </c>
      <c r="B19" s="16" t="s">
        <v>121</v>
      </c>
    </row>
    <row r="20" spans="1:2" x14ac:dyDescent="0.2">
      <c r="A20" s="19"/>
      <c r="B20" s="16"/>
    </row>
    <row r="21" spans="1:2" ht="25.5" x14ac:dyDescent="0.2">
      <c r="A21" s="19">
        <f>A19+1</f>
        <v>8</v>
      </c>
      <c r="B21" s="16" t="s">
        <v>122</v>
      </c>
    </row>
    <row r="22" spans="1:2" ht="27" customHeight="1" x14ac:dyDescent="0.2">
      <c r="A22" s="19"/>
      <c r="B22" s="16"/>
    </row>
    <row r="23" spans="1:2" ht="38.25" x14ac:dyDescent="0.2">
      <c r="A23" s="19">
        <f>A21+1</f>
        <v>9</v>
      </c>
      <c r="B23" s="15" t="s">
        <v>172</v>
      </c>
    </row>
    <row r="24" spans="1:2" x14ac:dyDescent="0.2">
      <c r="A24" s="19"/>
      <c r="B24" s="15"/>
    </row>
    <row r="25" spans="1:2" ht="38.25" x14ac:dyDescent="0.2">
      <c r="A25" s="19">
        <f>A23+1</f>
        <v>10</v>
      </c>
      <c r="B25" s="17" t="s">
        <v>173</v>
      </c>
    </row>
    <row r="26" spans="1:2" x14ac:dyDescent="0.2">
      <c r="A26" s="19"/>
      <c r="B26" s="17"/>
    </row>
    <row r="27" spans="1:2" ht="25.5" x14ac:dyDescent="0.2">
      <c r="A27" s="19">
        <f>A25+1</f>
        <v>11</v>
      </c>
      <c r="B27" s="17" t="s">
        <v>123</v>
      </c>
    </row>
    <row r="28" spans="1:2" x14ac:dyDescent="0.2">
      <c r="A28" s="19"/>
      <c r="B28" s="16"/>
    </row>
    <row r="29" spans="1:2" ht="25.5" x14ac:dyDescent="0.2">
      <c r="A29" s="19">
        <f>A27+1</f>
        <v>12</v>
      </c>
      <c r="B29" s="15" t="s">
        <v>124</v>
      </c>
    </row>
    <row r="30" spans="1:2" x14ac:dyDescent="0.2">
      <c r="A30" s="19"/>
      <c r="B30" s="15"/>
    </row>
    <row r="31" spans="1:2" x14ac:dyDescent="0.2">
      <c r="A31" s="19">
        <f>A29+1</f>
        <v>13</v>
      </c>
      <c r="B31" s="16" t="s">
        <v>146</v>
      </c>
    </row>
    <row r="32" spans="1:2" x14ac:dyDescent="0.2">
      <c r="A32" s="19"/>
    </row>
    <row r="33" spans="1:2" x14ac:dyDescent="0.2">
      <c r="A33" s="19">
        <f>A31+1</f>
        <v>14</v>
      </c>
      <c r="B33" s="32" t="s">
        <v>133</v>
      </c>
    </row>
    <row r="34" spans="1:2" x14ac:dyDescent="0.2">
      <c r="A34" s="19"/>
      <c r="B34" s="18"/>
    </row>
    <row r="35" spans="1:2" x14ac:dyDescent="0.2">
      <c r="A35" s="19"/>
      <c r="B35" s="18"/>
    </row>
    <row r="36" spans="1:2" x14ac:dyDescent="0.2">
      <c r="A36" s="19"/>
      <c r="B36" s="23" t="s">
        <v>112</v>
      </c>
    </row>
    <row r="37" spans="1:2" x14ac:dyDescent="0.2">
      <c r="A37" s="19"/>
      <c r="B37" s="18"/>
    </row>
    <row r="38" spans="1:2" x14ac:dyDescent="0.2">
      <c r="A38" s="19">
        <v>1</v>
      </c>
      <c r="B38" s="18" t="s">
        <v>113</v>
      </c>
    </row>
    <row r="39" spans="1:2" x14ac:dyDescent="0.2">
      <c r="A39" s="19"/>
      <c r="B39" s="18"/>
    </row>
    <row r="40" spans="1:2" ht="25.5" x14ac:dyDescent="0.2">
      <c r="A40" s="19">
        <f>A38+1</f>
        <v>2</v>
      </c>
      <c r="B40" s="20" t="s">
        <v>125</v>
      </c>
    </row>
    <row r="41" spans="1:2" x14ac:dyDescent="0.2">
      <c r="A41" s="19"/>
    </row>
    <row r="42" spans="1:2" x14ac:dyDescent="0.2">
      <c r="A42" s="19">
        <f>A40+1</f>
        <v>3</v>
      </c>
      <c r="B42" s="18" t="s">
        <v>109</v>
      </c>
    </row>
    <row r="43" spans="1:2" x14ac:dyDescent="0.2">
      <c r="A43" s="19"/>
    </row>
    <row r="44" spans="1:2" ht="25.5" x14ac:dyDescent="0.2">
      <c r="A44" s="19">
        <f>A42+1</f>
        <v>4</v>
      </c>
      <c r="B44" s="18" t="s">
        <v>108</v>
      </c>
    </row>
    <row r="45" spans="1:2" x14ac:dyDescent="0.2">
      <c r="A45" s="19"/>
    </row>
    <row r="46" spans="1:2" ht="25.5" x14ac:dyDescent="0.2">
      <c r="A46" s="19">
        <f>A44+1</f>
        <v>5</v>
      </c>
      <c r="B46" s="18" t="s">
        <v>114</v>
      </c>
    </row>
    <row r="47" spans="1:2" x14ac:dyDescent="0.2">
      <c r="A47" s="19"/>
      <c r="B47" s="18"/>
    </row>
    <row r="48" spans="1:2" x14ac:dyDescent="0.2">
      <c r="A48" s="804">
        <f>A46+1</f>
        <v>6</v>
      </c>
      <c r="B48" s="18" t="s">
        <v>349</v>
      </c>
    </row>
    <row r="49" spans="1:2" x14ac:dyDescent="0.2">
      <c r="A49" s="804"/>
      <c r="B49" s="18"/>
    </row>
    <row r="50" spans="1:2" ht="51" x14ac:dyDescent="0.2">
      <c r="A50" s="804">
        <f>A48+1</f>
        <v>7</v>
      </c>
      <c r="B50" s="17" t="s">
        <v>110</v>
      </c>
    </row>
    <row r="51" spans="1:2" x14ac:dyDescent="0.2">
      <c r="A51" s="804"/>
      <c r="B51" s="18"/>
    </row>
    <row r="52" spans="1:2" ht="38.25" x14ac:dyDescent="0.2">
      <c r="A52" s="804">
        <f>A50+1</f>
        <v>8</v>
      </c>
      <c r="B52" s="18" t="s">
        <v>313</v>
      </c>
    </row>
    <row r="53" spans="1:2" x14ac:dyDescent="0.2">
      <c r="A53" s="804"/>
      <c r="B53" s="18"/>
    </row>
    <row r="54" spans="1:2" ht="51" x14ac:dyDescent="0.2">
      <c r="A54" s="804">
        <f>A52+1</f>
        <v>9</v>
      </c>
      <c r="B54" s="17" t="s">
        <v>111</v>
      </c>
    </row>
    <row r="55" spans="1:2" x14ac:dyDescent="0.2">
      <c r="A55" s="804"/>
      <c r="B55" s="17"/>
    </row>
    <row r="56" spans="1:2" ht="38.25" x14ac:dyDescent="0.2">
      <c r="A56" s="804">
        <f>A54+1</f>
        <v>10</v>
      </c>
      <c r="B56" s="17" t="s">
        <v>170</v>
      </c>
    </row>
    <row r="57" spans="1:2" x14ac:dyDescent="0.2">
      <c r="A57" s="804"/>
      <c r="B57" s="18"/>
    </row>
    <row r="58" spans="1:2" ht="25.5" x14ac:dyDescent="0.2">
      <c r="A58" s="804">
        <f>A56+1</f>
        <v>11</v>
      </c>
      <c r="B58" s="18" t="s">
        <v>171</v>
      </c>
    </row>
    <row r="59" spans="1:2" x14ac:dyDescent="0.2">
      <c r="A59" s="804"/>
      <c r="B59" s="17"/>
    </row>
    <row r="60" spans="1:2" ht="33" customHeight="1" x14ac:dyDescent="0.2">
      <c r="A60" s="804">
        <f>A58+1</f>
        <v>12</v>
      </c>
      <c r="B60" s="17" t="s">
        <v>350</v>
      </c>
    </row>
    <row r="61" spans="1:2" x14ac:dyDescent="0.2">
      <c r="A61" s="804"/>
      <c r="B61" s="17"/>
    </row>
    <row r="62" spans="1:2" ht="38.25" x14ac:dyDescent="0.2">
      <c r="A62" s="804">
        <f>A60+1</f>
        <v>13</v>
      </c>
      <c r="B62" s="17" t="s">
        <v>351</v>
      </c>
    </row>
    <row r="63" spans="1:2" x14ac:dyDescent="0.2">
      <c r="A63" s="804"/>
      <c r="B63" s="18"/>
    </row>
    <row r="64" spans="1:2" ht="15.75" x14ac:dyDescent="0.2">
      <c r="A64" s="1152" t="s">
        <v>38</v>
      </c>
      <c r="B64" s="1153" t="s">
        <v>528</v>
      </c>
    </row>
    <row r="65" spans="1:2" x14ac:dyDescent="0.2">
      <c r="A65" s="1154"/>
      <c r="B65" s="1155"/>
    </row>
    <row r="66" spans="1:2" ht="45" x14ac:dyDescent="0.2">
      <c r="A66" s="1154"/>
      <c r="B66" s="1156" t="s">
        <v>537</v>
      </c>
    </row>
    <row r="67" spans="1:2" x14ac:dyDescent="0.2">
      <c r="A67" s="1154"/>
      <c r="B67" s="1155"/>
    </row>
    <row r="68" spans="1:2" ht="30" x14ac:dyDescent="0.2">
      <c r="A68" s="1154" t="s">
        <v>447</v>
      </c>
      <c r="B68" s="1155" t="s">
        <v>529</v>
      </c>
    </row>
    <row r="69" spans="1:2" x14ac:dyDescent="0.2">
      <c r="A69" s="1154"/>
      <c r="B69" s="1155"/>
    </row>
    <row r="70" spans="1:2" x14ac:dyDescent="0.2">
      <c r="A70" s="1154" t="s">
        <v>448</v>
      </c>
      <c r="B70" s="1155" t="s">
        <v>530</v>
      </c>
    </row>
    <row r="71" spans="1:2" x14ac:dyDescent="0.2">
      <c r="A71" s="1154"/>
      <c r="B71" s="1155"/>
    </row>
    <row r="72" spans="1:2" ht="30" x14ac:dyDescent="0.2">
      <c r="A72" s="1154" t="s">
        <v>449</v>
      </c>
      <c r="B72" s="1155" t="s">
        <v>531</v>
      </c>
    </row>
    <row r="73" spans="1:2" x14ac:dyDescent="0.2">
      <c r="A73" s="1154"/>
      <c r="B73" s="1155"/>
    </row>
    <row r="74" spans="1:2" x14ac:dyDescent="0.2">
      <c r="A74" s="1154" t="s">
        <v>450</v>
      </c>
      <c r="B74" s="1157" t="s">
        <v>532</v>
      </c>
    </row>
    <row r="75" spans="1:2" x14ac:dyDescent="0.2">
      <c r="A75" s="1154"/>
      <c r="B75" s="1155"/>
    </row>
    <row r="76" spans="1:2" ht="30" x14ac:dyDescent="0.2">
      <c r="A76" s="1154" t="s">
        <v>533</v>
      </c>
      <c r="B76" s="1155" t="s">
        <v>534</v>
      </c>
    </row>
    <row r="77" spans="1:2" x14ac:dyDescent="0.2">
      <c r="A77" s="1154"/>
      <c r="B77" s="1155"/>
    </row>
    <row r="78" spans="1:2" ht="30" x14ac:dyDescent="0.2">
      <c r="A78" s="1154" t="s">
        <v>535</v>
      </c>
      <c r="B78" s="1157" t="s">
        <v>536</v>
      </c>
    </row>
    <row r="79" spans="1:2" x14ac:dyDescent="0.2">
      <c r="A79" s="804"/>
      <c r="B79" s="18"/>
    </row>
    <row r="80" spans="1:2" x14ac:dyDescent="0.2">
      <c r="A80" s="804"/>
      <c r="B80" s="18" t="s">
        <v>23</v>
      </c>
    </row>
    <row r="81" spans="1:2" ht="25.5" x14ac:dyDescent="0.2">
      <c r="A81" s="804"/>
      <c r="B81" s="805" t="s">
        <v>352</v>
      </c>
    </row>
    <row r="82" spans="1:2" x14ac:dyDescent="0.2">
      <c r="A82" s="806"/>
      <c r="B82" s="806"/>
    </row>
    <row r="116" spans="1:1" x14ac:dyDescent="0.2">
      <c r="A116" s="279" t="s">
        <v>212</v>
      </c>
    </row>
  </sheetData>
  <phoneticPr fontId="54" type="noConversion"/>
  <printOptions horizontalCentered="1"/>
  <pageMargins left="0.55118110236220474" right="0.55118110236220474" top="0.78740157480314965" bottom="0.78740157480314965" header="0.51181102362204722" footer="0.51181102362204722"/>
  <pageSetup paperSize="9" scale="62" orientation="portrait" r:id="rId1"/>
  <headerFooter alignWithMargins="0">
    <oddFooter>&amp;L&amp;8&amp;F Rev 1 of 310805&amp;C&amp;8&amp;A&amp;R&amp;8&amp;D</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3"/>
  </sheetPr>
  <dimension ref="A1:O65"/>
  <sheetViews>
    <sheetView zoomScale="75" zoomScaleNormal="75" workbookViewId="0">
      <selection activeCell="J20" sqref="J20"/>
    </sheetView>
  </sheetViews>
  <sheetFormatPr defaultRowHeight="15" x14ac:dyDescent="0.2"/>
  <sheetData>
    <row r="1" spans="1:15" ht="15.75" thickTop="1" x14ac:dyDescent="0.2">
      <c r="A1" s="895"/>
      <c r="B1" s="833"/>
      <c r="C1" s="833"/>
      <c r="D1" s="896" t="s">
        <v>410</v>
      </c>
      <c r="E1" s="897"/>
      <c r="F1" s="897"/>
      <c r="G1" s="833"/>
      <c r="H1" s="833"/>
      <c r="I1" s="833"/>
      <c r="J1" s="833"/>
      <c r="K1" s="833"/>
      <c r="L1" s="833"/>
      <c r="M1" s="834" t="s">
        <v>411</v>
      </c>
      <c r="N1" s="898"/>
      <c r="O1" s="834"/>
    </row>
    <row r="2" spans="1:15" x14ac:dyDescent="0.2">
      <c r="A2" s="899"/>
      <c r="B2" s="836"/>
      <c r="C2" s="867"/>
      <c r="D2" s="867" t="s">
        <v>412</v>
      </c>
      <c r="E2" s="867"/>
      <c r="F2" s="867"/>
      <c r="G2" s="867"/>
      <c r="H2" s="867"/>
      <c r="I2" s="867"/>
      <c r="J2" s="867"/>
      <c r="K2" s="867"/>
      <c r="L2" s="867"/>
      <c r="M2" s="867"/>
      <c r="N2" s="836" t="s">
        <v>413</v>
      </c>
      <c r="O2" s="839"/>
    </row>
    <row r="3" spans="1:15" x14ac:dyDescent="0.2">
      <c r="A3" s="899"/>
      <c r="B3" s="836"/>
      <c r="C3" s="867"/>
      <c r="D3" s="867"/>
      <c r="E3" s="867"/>
      <c r="F3" s="867"/>
      <c r="G3" s="867"/>
      <c r="H3" s="867"/>
      <c r="I3" s="867"/>
      <c r="J3" s="867"/>
      <c r="K3" s="867"/>
      <c r="L3" s="867"/>
      <c r="M3" s="867"/>
      <c r="N3" s="867"/>
      <c r="O3" s="839"/>
    </row>
    <row r="4" spans="1:15" x14ac:dyDescent="0.2">
      <c r="A4" s="899"/>
      <c r="B4" s="836"/>
      <c r="C4" s="867"/>
      <c r="D4" s="867"/>
      <c r="E4" s="900"/>
      <c r="F4" s="1538" t="s">
        <v>414</v>
      </c>
      <c r="G4" s="1969">
        <v>0</v>
      </c>
      <c r="H4" s="1970"/>
      <c r="I4" s="901" t="s">
        <v>361</v>
      </c>
      <c r="K4" s="867"/>
      <c r="L4" s="867"/>
      <c r="M4" s="902" t="s">
        <v>415</v>
      </c>
      <c r="N4" s="867"/>
      <c r="O4" s="903"/>
    </row>
    <row r="5" spans="1:15" x14ac:dyDescent="0.2">
      <c r="A5" s="899"/>
      <c r="B5" s="836"/>
      <c r="C5" s="867"/>
      <c r="D5" s="867"/>
      <c r="E5" s="1900" t="s">
        <v>416</v>
      </c>
      <c r="F5" s="1901"/>
      <c r="G5" s="1971">
        <f>'Input Data'!D7</f>
        <v>0</v>
      </c>
      <c r="H5" s="1972"/>
      <c r="I5" s="867"/>
      <c r="J5" s="867"/>
      <c r="K5" s="867"/>
      <c r="L5" s="867"/>
      <c r="M5" s="902" t="s">
        <v>417</v>
      </c>
      <c r="N5" s="1902"/>
      <c r="O5" s="1903"/>
    </row>
    <row r="6" spans="1:15" x14ac:dyDescent="0.2">
      <c r="A6" s="904" t="s">
        <v>418</v>
      </c>
      <c r="B6" s="836"/>
      <c r="C6" s="905"/>
      <c r="D6" s="844" t="s">
        <v>361</v>
      </c>
      <c r="E6" s="853"/>
      <c r="F6" s="853"/>
      <c r="G6" s="853"/>
      <c r="H6" s="853"/>
      <c r="I6" s="853"/>
      <c r="J6" s="853"/>
      <c r="K6" s="853"/>
      <c r="L6" s="853"/>
      <c r="M6" s="853"/>
      <c r="N6" s="867"/>
      <c r="O6" s="839"/>
    </row>
    <row r="7" spans="1:15" x14ac:dyDescent="0.2">
      <c r="A7" s="904" t="s">
        <v>419</v>
      </c>
      <c r="B7" s="836"/>
      <c r="C7" s="901"/>
      <c r="D7" s="844" t="s">
        <v>361</v>
      </c>
      <c r="E7" s="853"/>
      <c r="F7" s="853"/>
      <c r="G7" s="853"/>
      <c r="H7" s="853"/>
      <c r="I7" s="853"/>
      <c r="J7" s="906"/>
      <c r="K7" s="853"/>
      <c r="L7" s="853"/>
      <c r="M7" s="853"/>
      <c r="N7" s="867"/>
      <c r="O7" s="839"/>
    </row>
    <row r="8" spans="1:15" x14ac:dyDescent="0.2">
      <c r="A8" s="899"/>
      <c r="B8" s="836"/>
      <c r="C8" s="867"/>
      <c r="D8" s="836"/>
      <c r="E8" s="836"/>
      <c r="F8" s="836"/>
      <c r="G8" s="836"/>
      <c r="H8" s="836"/>
      <c r="I8" s="836"/>
      <c r="J8" s="907"/>
      <c r="K8" s="836"/>
      <c r="L8" s="836"/>
      <c r="M8" s="836"/>
      <c r="N8" s="836"/>
      <c r="O8" s="839"/>
    </row>
    <row r="9" spans="1:15" x14ac:dyDescent="0.2">
      <c r="A9" s="904" t="s">
        <v>420</v>
      </c>
      <c r="B9" s="836"/>
      <c r="C9" s="844" t="s">
        <v>421</v>
      </c>
      <c r="D9" s="867"/>
      <c r="E9" s="867"/>
      <c r="F9" s="867"/>
      <c r="G9" s="867"/>
      <c r="H9" s="836"/>
      <c r="I9" s="836"/>
      <c r="J9" s="867"/>
      <c r="K9" s="867"/>
      <c r="L9" s="867"/>
      <c r="M9" s="867"/>
      <c r="N9" s="867"/>
      <c r="O9" s="839"/>
    </row>
    <row r="10" spans="1:15" x14ac:dyDescent="0.2">
      <c r="A10" s="908" t="s">
        <v>422</v>
      </c>
      <c r="B10" s="909"/>
      <c r="C10" s="910"/>
      <c r="D10" s="910"/>
      <c r="E10" s="910"/>
      <c r="F10" s="910"/>
      <c r="G10" s="910"/>
      <c r="H10" s="911" t="s">
        <v>423</v>
      </c>
      <c r="I10" s="912"/>
      <c r="J10" s="913" t="s">
        <v>424</v>
      </c>
      <c r="K10" s="882" t="s">
        <v>425</v>
      </c>
      <c r="L10" s="914"/>
      <c r="M10" s="915"/>
      <c r="N10" s="916" t="s">
        <v>426</v>
      </c>
      <c r="O10" s="917" t="s">
        <v>427</v>
      </c>
    </row>
    <row r="11" spans="1:15" x14ac:dyDescent="0.2">
      <c r="A11" s="918"/>
      <c r="B11" s="919"/>
      <c r="C11" s="920"/>
      <c r="D11" s="921" t="s">
        <v>428</v>
      </c>
      <c r="E11" s="922"/>
      <c r="F11" s="923" t="s">
        <v>429</v>
      </c>
      <c r="G11" s="924"/>
      <c r="H11" s="871" t="s">
        <v>430</v>
      </c>
      <c r="I11" s="836"/>
      <c r="J11" s="925" t="s">
        <v>431</v>
      </c>
      <c r="K11" s="926" t="s">
        <v>432</v>
      </c>
      <c r="L11" s="919" t="s">
        <v>433</v>
      </c>
      <c r="M11" s="913" t="s">
        <v>434</v>
      </c>
      <c r="N11" s="927" t="s">
        <v>435</v>
      </c>
      <c r="O11" s="928" t="s">
        <v>436</v>
      </c>
    </row>
    <row r="12" spans="1:15" x14ac:dyDescent="0.2">
      <c r="A12" s="929"/>
      <c r="B12" s="1904" t="s">
        <v>4</v>
      </c>
      <c r="C12" s="1905"/>
      <c r="D12" s="930" t="s">
        <v>437</v>
      </c>
      <c r="E12" s="931"/>
      <c r="F12" s="932" t="s">
        <v>437</v>
      </c>
      <c r="G12" s="931"/>
      <c r="H12" s="1904" t="s">
        <v>438</v>
      </c>
      <c r="I12" s="1906"/>
      <c r="J12" s="933" t="s">
        <v>439</v>
      </c>
      <c r="K12" s="934" t="s">
        <v>440</v>
      </c>
      <c r="L12" s="932" t="s">
        <v>441</v>
      </c>
      <c r="M12" s="935" t="s">
        <v>442</v>
      </c>
      <c r="N12" s="933" t="s">
        <v>443</v>
      </c>
      <c r="O12" s="936" t="s">
        <v>444</v>
      </c>
    </row>
    <row r="13" spans="1:15" x14ac:dyDescent="0.2">
      <c r="A13" s="937" t="s">
        <v>445</v>
      </c>
      <c r="B13" s="938"/>
      <c r="C13" s="939"/>
      <c r="D13" s="1907"/>
      <c r="E13" s="1908"/>
      <c r="F13" s="938"/>
      <c r="G13" s="939"/>
      <c r="H13" s="940"/>
      <c r="I13" s="941"/>
      <c r="J13" s="942"/>
      <c r="K13" s="943"/>
      <c r="L13" s="944"/>
      <c r="M13" s="945"/>
      <c r="N13" s="939"/>
      <c r="O13" s="946"/>
    </row>
    <row r="14" spans="1:15" x14ac:dyDescent="0.2">
      <c r="A14" s="947" t="s">
        <v>446</v>
      </c>
      <c r="B14" s="948"/>
      <c r="C14" s="862"/>
      <c r="D14" s="934"/>
      <c r="E14" s="949"/>
      <c r="F14" s="948"/>
      <c r="G14" s="862"/>
      <c r="H14" s="950"/>
      <c r="I14" s="951"/>
      <c r="J14" s="952"/>
      <c r="K14" s="953"/>
      <c r="L14" s="953"/>
      <c r="M14" s="954"/>
      <c r="N14" s="933"/>
      <c r="O14" s="955"/>
    </row>
    <row r="15" spans="1:15" x14ac:dyDescent="0.2">
      <c r="A15" s="956"/>
      <c r="B15" s="957"/>
      <c r="C15" s="836"/>
      <c r="D15" s="927"/>
      <c r="E15" s="841"/>
      <c r="F15" s="957"/>
      <c r="G15" s="836"/>
      <c r="H15" s="836"/>
      <c r="I15" s="836"/>
      <c r="J15" s="905" t="s">
        <v>447</v>
      </c>
      <c r="K15" s="927" t="s">
        <v>448</v>
      </c>
      <c r="L15" s="905" t="s">
        <v>449</v>
      </c>
      <c r="M15" s="927" t="s">
        <v>450</v>
      </c>
      <c r="N15" s="836"/>
      <c r="O15" s="958" t="s">
        <v>9</v>
      </c>
    </row>
    <row r="16" spans="1:15" ht="15.75" thickBot="1" x14ac:dyDescent="0.25">
      <c r="A16" s="899" t="s">
        <v>451</v>
      </c>
      <c r="B16" s="957"/>
      <c r="C16" s="836"/>
      <c r="D16" s="927"/>
      <c r="E16" s="841"/>
      <c r="F16" s="957"/>
      <c r="G16" s="836"/>
      <c r="H16" s="836"/>
      <c r="I16" s="836"/>
      <c r="J16" s="844" t="s">
        <v>452</v>
      </c>
      <c r="K16" s="836"/>
      <c r="L16" s="855"/>
      <c r="M16" s="844"/>
      <c r="N16" s="836"/>
      <c r="O16" s="959">
        <f>J13+J14+K13+K14+L13+L14+M13+M14</f>
        <v>0</v>
      </c>
    </row>
    <row r="17" spans="1:15" x14ac:dyDescent="0.2">
      <c r="A17" s="899" t="s">
        <v>453</v>
      </c>
      <c r="B17" s="957"/>
      <c r="C17" s="836"/>
      <c r="D17" s="927"/>
      <c r="E17" s="960"/>
      <c r="F17" s="957"/>
      <c r="G17" s="836"/>
      <c r="H17" s="836"/>
      <c r="I17" s="836"/>
      <c r="J17" s="927"/>
      <c r="K17" s="961"/>
      <c r="L17" s="962"/>
      <c r="M17" s="963"/>
      <c r="N17" s="964" t="s">
        <v>454</v>
      </c>
      <c r="O17" s="965" t="s">
        <v>9</v>
      </c>
    </row>
    <row r="18" spans="1:15" ht="15.75" thickBot="1" x14ac:dyDescent="0.25">
      <c r="A18" s="966" t="s">
        <v>455</v>
      </c>
      <c r="B18" s="967"/>
      <c r="C18" s="893"/>
      <c r="D18" s="968"/>
      <c r="E18" s="969"/>
      <c r="F18" s="967"/>
      <c r="G18" s="893"/>
      <c r="H18" s="893"/>
      <c r="I18" s="893"/>
      <c r="J18" s="968"/>
      <c r="K18" s="970" t="s">
        <v>456</v>
      </c>
      <c r="L18" s="969"/>
      <c r="M18" s="968"/>
      <c r="N18" s="971">
        <v>0</v>
      </c>
      <c r="O18" s="972"/>
    </row>
    <row r="19" spans="1:15" ht="15.75" thickTop="1" x14ac:dyDescent="0.2">
      <c r="A19" s="899"/>
      <c r="B19" s="957"/>
      <c r="C19" s="836"/>
      <c r="D19" s="927"/>
      <c r="E19" s="960"/>
      <c r="F19" s="957"/>
      <c r="G19" s="836"/>
      <c r="H19" s="836"/>
      <c r="I19" s="836"/>
      <c r="J19" s="927"/>
      <c r="K19" s="957"/>
      <c r="L19" s="960"/>
      <c r="M19" s="927"/>
      <c r="N19" s="927"/>
      <c r="O19" s="973"/>
    </row>
    <row r="20" spans="1:15" x14ac:dyDescent="0.2">
      <c r="A20" s="908" t="s">
        <v>457</v>
      </c>
      <c r="B20" s="910"/>
      <c r="C20" s="909"/>
      <c r="D20" s="910"/>
      <c r="E20" s="910"/>
      <c r="F20" s="910"/>
      <c r="G20" s="910"/>
      <c r="H20" s="910"/>
      <c r="I20" s="910"/>
      <c r="J20" s="910"/>
      <c r="K20" s="910"/>
      <c r="L20" s="910"/>
      <c r="M20" s="910"/>
      <c r="N20" s="910"/>
      <c r="O20" s="974"/>
    </row>
    <row r="21" spans="1:15" x14ac:dyDescent="0.2">
      <c r="A21" s="975"/>
      <c r="B21" s="909" t="s">
        <v>458</v>
      </c>
      <c r="C21" s="862"/>
      <c r="D21" s="910"/>
      <c r="E21" s="910"/>
      <c r="F21" s="910"/>
      <c r="G21" s="910"/>
      <c r="H21" s="976"/>
      <c r="I21" s="909" t="s">
        <v>459</v>
      </c>
      <c r="J21" s="910"/>
      <c r="K21" s="909"/>
      <c r="L21" s="910"/>
      <c r="M21" s="977" t="s">
        <v>460</v>
      </c>
      <c r="N21" s="882"/>
      <c r="O21" s="978"/>
    </row>
    <row r="22" spans="1:15" x14ac:dyDescent="0.2">
      <c r="A22" s="979" t="s">
        <v>461</v>
      </c>
      <c r="B22" s="931"/>
      <c r="C22" s="980"/>
      <c r="D22" s="981" t="s">
        <v>462</v>
      </c>
      <c r="E22" s="931"/>
      <c r="F22" s="933"/>
      <c r="G22" s="933"/>
      <c r="H22" s="982" t="s">
        <v>463</v>
      </c>
      <c r="I22" s="910"/>
      <c r="J22" s="910"/>
      <c r="K22" s="983" t="s">
        <v>464</v>
      </c>
      <c r="L22" s="910"/>
      <c r="M22" s="984" t="s">
        <v>465</v>
      </c>
      <c r="N22" s="985" t="s">
        <v>456</v>
      </c>
      <c r="O22" s="986"/>
    </row>
    <row r="23" spans="1:15" x14ac:dyDescent="0.2">
      <c r="A23" s="947" t="s">
        <v>440</v>
      </c>
      <c r="B23" s="981" t="s">
        <v>4</v>
      </c>
      <c r="C23" s="931"/>
      <c r="D23" s="981" t="s">
        <v>440</v>
      </c>
      <c r="E23" s="931"/>
      <c r="F23" s="987" t="s">
        <v>4</v>
      </c>
      <c r="G23" s="933"/>
      <c r="H23" s="1909" t="s">
        <v>440</v>
      </c>
      <c r="I23" s="1910"/>
      <c r="J23" s="987" t="s">
        <v>4</v>
      </c>
      <c r="K23" s="987" t="s">
        <v>440</v>
      </c>
      <c r="L23" s="987" t="s">
        <v>4</v>
      </c>
      <c r="M23" s="988" t="s">
        <v>440</v>
      </c>
      <c r="N23" s="989" t="s">
        <v>454</v>
      </c>
      <c r="O23" s="990" t="s">
        <v>466</v>
      </c>
    </row>
    <row r="24" spans="1:15" x14ac:dyDescent="0.2">
      <c r="A24" s="991"/>
      <c r="B24" s="992"/>
      <c r="C24" s="853"/>
      <c r="D24" s="993"/>
      <c r="E24" s="994"/>
      <c r="F24" s="992"/>
      <c r="G24" s="853"/>
      <c r="H24" s="995"/>
      <c r="I24" s="996"/>
      <c r="J24" s="997"/>
      <c r="K24" s="992"/>
      <c r="L24" s="997"/>
      <c r="M24" s="998"/>
      <c r="N24" s="999"/>
      <c r="O24" s="1000"/>
    </row>
    <row r="25" spans="1:15" x14ac:dyDescent="0.2">
      <c r="A25" s="991"/>
      <c r="B25" s="992"/>
      <c r="C25" s="853"/>
      <c r="D25" s="993"/>
      <c r="E25" s="994"/>
      <c r="F25" s="992"/>
      <c r="G25" s="853"/>
      <c r="H25" s="995"/>
      <c r="I25" s="996"/>
      <c r="J25" s="997"/>
      <c r="K25" s="992"/>
      <c r="L25" s="997"/>
      <c r="M25" s="998"/>
      <c r="N25" s="999"/>
      <c r="O25" s="1000"/>
    </row>
    <row r="26" spans="1:15" x14ac:dyDescent="0.2">
      <c r="A26" s="1001"/>
      <c r="B26" s="948"/>
      <c r="C26" s="862"/>
      <c r="D26" s="1002"/>
      <c r="E26" s="1003"/>
      <c r="F26" s="948"/>
      <c r="G26" s="862"/>
      <c r="H26" s="995"/>
      <c r="I26" s="951"/>
      <c r="J26" s="1004"/>
      <c r="K26" s="948"/>
      <c r="L26" s="1004"/>
      <c r="M26" s="1005"/>
      <c r="N26" s="933"/>
      <c r="O26" s="1006"/>
    </row>
    <row r="27" spans="1:15" ht="15.75" thickBot="1" x14ac:dyDescent="0.25">
      <c r="A27" s="1007"/>
      <c r="B27" s="1008"/>
      <c r="C27" s="1008"/>
      <c r="D27" s="1008"/>
      <c r="E27" s="1008"/>
      <c r="F27" s="1008"/>
      <c r="G27" s="1008"/>
      <c r="H27" s="1009"/>
      <c r="I27" s="1008"/>
      <c r="J27" s="1008"/>
      <c r="K27" s="1008"/>
      <c r="L27" s="1010" t="s">
        <v>467</v>
      </c>
      <c r="M27" s="1011"/>
      <c r="N27" s="1012"/>
      <c r="O27" s="1013"/>
    </row>
    <row r="28" spans="1:15" ht="15.75" thickTop="1" x14ac:dyDescent="0.2">
      <c r="A28" s="899"/>
      <c r="B28" s="836"/>
      <c r="C28" s="867"/>
      <c r="D28" s="867"/>
      <c r="E28" s="867"/>
      <c r="F28" s="867"/>
      <c r="G28" s="867"/>
      <c r="H28" s="844"/>
      <c r="I28" s="836"/>
      <c r="J28" s="905"/>
      <c r="K28" s="927"/>
      <c r="L28" s="905"/>
      <c r="M28" s="927"/>
      <c r="N28" s="836"/>
      <c r="O28" s="839"/>
    </row>
    <row r="29" spans="1:15" x14ac:dyDescent="0.2">
      <c r="A29" s="904" t="s">
        <v>468</v>
      </c>
      <c r="B29" s="836"/>
      <c r="C29" s="862"/>
      <c r="D29" s="867"/>
      <c r="E29" s="867"/>
      <c r="F29" s="867"/>
      <c r="G29" s="867"/>
      <c r="H29" s="867"/>
      <c r="I29" s="867"/>
      <c r="J29" s="867"/>
      <c r="K29" s="867"/>
      <c r="L29" s="867"/>
      <c r="M29" s="867"/>
      <c r="N29" s="867"/>
      <c r="O29" s="839"/>
    </row>
    <row r="30" spans="1:15" x14ac:dyDescent="0.2">
      <c r="A30" s="908" t="s">
        <v>469</v>
      </c>
      <c r="B30" s="909"/>
      <c r="C30" s="862"/>
      <c r="D30" s="910"/>
      <c r="E30" s="910"/>
      <c r="F30" s="910"/>
      <c r="G30" s="1014"/>
      <c r="H30" s="836"/>
      <c r="I30" s="867"/>
      <c r="J30" s="983" t="s">
        <v>470</v>
      </c>
      <c r="K30" s="1015"/>
      <c r="L30" s="910"/>
      <c r="M30" s="910"/>
      <c r="N30" s="910"/>
      <c r="O30" s="1016"/>
    </row>
    <row r="31" spans="1:15" x14ac:dyDescent="0.2">
      <c r="A31" s="979" t="s">
        <v>471</v>
      </c>
      <c r="B31" s="931"/>
      <c r="C31" s="1017"/>
      <c r="D31" s="900" t="s">
        <v>472</v>
      </c>
      <c r="E31" s="867"/>
      <c r="F31" s="884" t="s">
        <v>473</v>
      </c>
      <c r="G31" s="874"/>
      <c r="H31" s="836"/>
      <c r="I31" s="867"/>
      <c r="J31" s="983" t="s">
        <v>474</v>
      </c>
      <c r="K31" s="910"/>
      <c r="L31" s="910"/>
      <c r="M31" s="910"/>
      <c r="N31" s="910"/>
      <c r="O31" s="1018" t="s">
        <v>475</v>
      </c>
    </row>
    <row r="32" spans="1:15" x14ac:dyDescent="0.2">
      <c r="A32" s="947" t="s">
        <v>454</v>
      </c>
      <c r="B32" s="1019" t="s">
        <v>476</v>
      </c>
      <c r="C32" s="1020"/>
      <c r="D32" s="1021" t="s">
        <v>5</v>
      </c>
      <c r="E32" s="931"/>
      <c r="F32" s="1022" t="s">
        <v>477</v>
      </c>
      <c r="G32" s="951"/>
      <c r="H32" s="927"/>
      <c r="I32" s="867"/>
      <c r="J32" s="1022" t="s">
        <v>478</v>
      </c>
      <c r="K32" s="862"/>
      <c r="L32" s="1023"/>
      <c r="M32" s="1024"/>
      <c r="N32" s="1024"/>
      <c r="O32" s="1025"/>
    </row>
    <row r="33" spans="1:15" x14ac:dyDescent="0.2">
      <c r="A33" s="1026">
        <v>0</v>
      </c>
      <c r="B33" s="1027"/>
      <c r="C33" s="1028"/>
      <c r="D33" s="1029"/>
      <c r="E33" s="1030" t="s">
        <v>479</v>
      </c>
      <c r="F33" s="1031">
        <f>A33*D33</f>
        <v>0</v>
      </c>
      <c r="G33" s="941"/>
      <c r="H33" s="927"/>
      <c r="I33" s="867"/>
      <c r="J33" s="913" t="s">
        <v>6</v>
      </c>
      <c r="K33" s="913" t="s">
        <v>6</v>
      </c>
      <c r="L33" s="913" t="s">
        <v>480</v>
      </c>
      <c r="M33" s="1032" t="s">
        <v>6</v>
      </c>
      <c r="N33" s="1032" t="s">
        <v>481</v>
      </c>
      <c r="O33" s="858" t="s">
        <v>482</v>
      </c>
    </row>
    <row r="34" spans="1:15" x14ac:dyDescent="0.2">
      <c r="A34" s="1033">
        <v>0</v>
      </c>
      <c r="B34" s="1034" t="s">
        <v>483</v>
      </c>
      <c r="C34" s="1035"/>
      <c r="D34" s="1036"/>
      <c r="E34" s="1037" t="s">
        <v>479</v>
      </c>
      <c r="F34" s="1038">
        <f>A34*D34</f>
        <v>0</v>
      </c>
      <c r="G34" s="996"/>
      <c r="H34" s="836"/>
      <c r="I34" s="867"/>
      <c r="J34" s="935" t="s">
        <v>484</v>
      </c>
      <c r="K34" s="935" t="s">
        <v>485</v>
      </c>
      <c r="L34" s="935" t="s">
        <v>486</v>
      </c>
      <c r="M34" s="989" t="s">
        <v>466</v>
      </c>
      <c r="N34" s="989" t="s">
        <v>5</v>
      </c>
      <c r="O34" s="1039" t="s">
        <v>477</v>
      </c>
    </row>
    <row r="35" spans="1:15" x14ac:dyDescent="0.2">
      <c r="A35" s="1040"/>
      <c r="B35" s="1041">
        <v>0</v>
      </c>
      <c r="C35" s="1042" t="s">
        <v>487</v>
      </c>
      <c r="D35" s="1043"/>
      <c r="E35" s="1044" t="s">
        <v>488</v>
      </c>
      <c r="F35" s="1045">
        <f>B35*D35</f>
        <v>0</v>
      </c>
      <c r="G35" s="1042"/>
      <c r="H35" s="836"/>
      <c r="I35" s="867"/>
      <c r="J35" s="1046"/>
      <c r="K35" s="1047"/>
      <c r="L35" s="1048"/>
      <c r="M35" s="1049"/>
      <c r="N35" s="1050"/>
      <c r="O35" s="1051"/>
    </row>
    <row r="36" spans="1:15" x14ac:dyDescent="0.2">
      <c r="A36" s="1052" t="s">
        <v>483</v>
      </c>
      <c r="B36" s="1053">
        <v>0</v>
      </c>
      <c r="C36" s="862" t="s">
        <v>487</v>
      </c>
      <c r="D36" s="1054"/>
      <c r="E36" s="1055" t="s">
        <v>488</v>
      </c>
      <c r="F36" s="1056">
        <f>B36*D36</f>
        <v>0</v>
      </c>
      <c r="G36" s="951"/>
      <c r="H36" s="836"/>
      <c r="I36" s="867"/>
      <c r="J36" s="952">
        <f>M27</f>
        <v>0</v>
      </c>
      <c r="K36" s="1057" t="s">
        <v>489</v>
      </c>
      <c r="L36" s="952"/>
      <c r="M36" s="954">
        <f>J36-L36</f>
        <v>0</v>
      </c>
      <c r="N36" s="1058"/>
      <c r="O36" s="1059">
        <f>M36*N36</f>
        <v>0</v>
      </c>
    </row>
    <row r="37" spans="1:15" ht="15.75" thickBot="1" x14ac:dyDescent="0.25">
      <c r="A37" s="1060"/>
      <c r="B37" s="1061"/>
      <c r="C37" s="1061"/>
      <c r="D37" s="1062" t="s">
        <v>490</v>
      </c>
      <c r="E37" s="1063"/>
      <c r="F37" s="1064">
        <f>SUM(F33:F36)</f>
        <v>0</v>
      </c>
      <c r="G37" s="1065"/>
      <c r="H37" s="893"/>
      <c r="I37" s="893"/>
      <c r="J37" s="1066"/>
      <c r="K37" s="1061"/>
      <c r="L37" s="1061"/>
      <c r="M37" s="1062" t="s">
        <v>491</v>
      </c>
      <c r="N37" s="893"/>
      <c r="O37" s="1067">
        <f>SUM(O35:O36)</f>
        <v>0</v>
      </c>
    </row>
    <row r="38" spans="1:15" ht="15.75" thickTop="1" x14ac:dyDescent="0.2">
      <c r="A38" s="899"/>
      <c r="B38" s="836"/>
      <c r="C38" s="867"/>
      <c r="D38" s="844"/>
      <c r="E38" s="836"/>
      <c r="F38" s="876"/>
      <c r="G38" s="836"/>
      <c r="H38" s="867"/>
      <c r="I38" s="867"/>
      <c r="J38" s="867"/>
      <c r="K38" s="867"/>
      <c r="L38" s="867"/>
      <c r="M38" s="867"/>
      <c r="N38" s="867"/>
      <c r="O38" s="839"/>
    </row>
    <row r="39" spans="1:15" x14ac:dyDescent="0.2">
      <c r="A39" s="904" t="s">
        <v>492</v>
      </c>
      <c r="B39" s="844"/>
      <c r="C39" s="862"/>
      <c r="D39" s="867"/>
      <c r="E39" s="867"/>
      <c r="F39" s="859"/>
      <c r="G39" s="867"/>
      <c r="H39" s="867"/>
      <c r="I39" s="867"/>
      <c r="J39" s="867"/>
      <c r="K39" s="862"/>
      <c r="L39" s="867"/>
      <c r="M39" s="867"/>
      <c r="N39" s="867"/>
      <c r="O39" s="839"/>
    </row>
    <row r="40" spans="1:15" x14ac:dyDescent="0.2">
      <c r="A40" s="1068" t="s">
        <v>45</v>
      </c>
      <c r="B40" s="1069" t="s">
        <v>493</v>
      </c>
      <c r="C40" s="883"/>
      <c r="D40" s="921" t="s">
        <v>494</v>
      </c>
      <c r="E40" s="920"/>
      <c r="F40" s="911"/>
      <c r="G40" s="1070"/>
      <c r="H40" s="1069"/>
      <c r="I40" s="1070"/>
      <c r="J40" s="1071" t="s">
        <v>51</v>
      </c>
      <c r="K40" s="1072" t="s">
        <v>495</v>
      </c>
      <c r="L40" s="1071" t="s">
        <v>5</v>
      </c>
      <c r="M40" s="1911" t="s">
        <v>160</v>
      </c>
      <c r="N40" s="1912"/>
      <c r="O40" s="1073" t="s">
        <v>7</v>
      </c>
    </row>
    <row r="41" spans="1:15" x14ac:dyDescent="0.2">
      <c r="A41" s="947" t="s">
        <v>46</v>
      </c>
      <c r="B41" s="981" t="s">
        <v>496</v>
      </c>
      <c r="C41" s="931"/>
      <c r="D41" s="981" t="s">
        <v>496</v>
      </c>
      <c r="E41" s="931"/>
      <c r="F41" s="981" t="s">
        <v>497</v>
      </c>
      <c r="G41" s="931"/>
      <c r="H41" s="1074" t="s">
        <v>6</v>
      </c>
      <c r="I41" s="1021" t="s">
        <v>475</v>
      </c>
      <c r="J41" s="987" t="s">
        <v>13</v>
      </c>
      <c r="K41" s="981" t="s">
        <v>498</v>
      </c>
      <c r="L41" s="987" t="s">
        <v>499</v>
      </c>
      <c r="M41" s="987" t="s">
        <v>242</v>
      </c>
      <c r="N41" s="987" t="s">
        <v>500</v>
      </c>
      <c r="O41" s="1039" t="s">
        <v>501</v>
      </c>
    </row>
    <row r="42" spans="1:15" x14ac:dyDescent="0.2">
      <c r="A42" s="1075" t="s">
        <v>502</v>
      </c>
      <c r="B42" s="882"/>
      <c r="C42" s="883"/>
      <c r="D42" s="882"/>
      <c r="E42" s="883"/>
      <c r="F42" s="882"/>
      <c r="G42" s="883"/>
      <c r="H42" s="1076"/>
      <c r="I42" s="883"/>
      <c r="J42" s="926"/>
      <c r="K42" s="926"/>
      <c r="L42" s="1077"/>
      <c r="M42" s="1078"/>
      <c r="N42" s="882"/>
      <c r="O42" s="1079"/>
    </row>
    <row r="43" spans="1:15" x14ac:dyDescent="0.2">
      <c r="A43" s="1080" t="s">
        <v>503</v>
      </c>
      <c r="B43" s="1081"/>
      <c r="C43" s="853" t="s">
        <v>475</v>
      </c>
      <c r="D43" s="1081"/>
      <c r="E43" s="853" t="s">
        <v>475</v>
      </c>
      <c r="F43" s="1081"/>
      <c r="G43" s="853" t="s">
        <v>475</v>
      </c>
      <c r="H43" s="1082">
        <f>B43+D43+F43</f>
        <v>0</v>
      </c>
      <c r="I43" s="853" t="s">
        <v>475</v>
      </c>
      <c r="J43" s="993" t="s">
        <v>504</v>
      </c>
      <c r="K43" s="993"/>
      <c r="L43" s="1083"/>
      <c r="M43" s="1084">
        <v>0.14000000000000001</v>
      </c>
      <c r="N43" s="1085"/>
      <c r="O43" s="1086">
        <f>H43*L43/100+N43/(1+M43)</f>
        <v>0</v>
      </c>
    </row>
    <row r="44" spans="1:15" x14ac:dyDescent="0.2">
      <c r="A44" s="1087"/>
      <c r="B44" s="950"/>
      <c r="C44" s="862"/>
      <c r="D44" s="950"/>
      <c r="E44" s="862"/>
      <c r="F44" s="950"/>
      <c r="G44" s="862"/>
      <c r="H44" s="1088"/>
      <c r="I44" s="862"/>
      <c r="J44" s="934" t="s">
        <v>505</v>
      </c>
      <c r="K44" s="934"/>
      <c r="L44" s="1089"/>
      <c r="M44" s="1090"/>
      <c r="N44" s="1091">
        <f>N43/1.14</f>
        <v>0</v>
      </c>
      <c r="O44" s="1092"/>
    </row>
    <row r="45" spans="1:15" ht="15.75" thickBot="1" x14ac:dyDescent="0.25">
      <c r="A45" s="1060"/>
      <c r="B45" s="1061"/>
      <c r="C45" s="1061"/>
      <c r="D45" s="1061"/>
      <c r="E45" s="1061"/>
      <c r="F45" s="1061"/>
      <c r="G45" s="1061"/>
      <c r="H45" s="1093"/>
      <c r="I45" s="1061"/>
      <c r="J45" s="1061"/>
      <c r="K45" s="1094"/>
      <c r="L45" s="1008"/>
      <c r="M45" s="1062" t="s">
        <v>506</v>
      </c>
      <c r="N45" s="1063"/>
      <c r="O45" s="1095">
        <f>SUM(O42:O44)</f>
        <v>0</v>
      </c>
    </row>
    <row r="46" spans="1:15" ht="15.75" thickTop="1" x14ac:dyDescent="0.2">
      <c r="A46" s="899"/>
      <c r="B46" s="836"/>
      <c r="C46" s="836"/>
      <c r="D46" s="836"/>
      <c r="E46" s="836"/>
      <c r="F46" s="836"/>
      <c r="G46" s="836"/>
      <c r="H46" s="836"/>
      <c r="I46" s="836"/>
      <c r="J46" s="836"/>
      <c r="K46" s="836"/>
      <c r="L46" s="836"/>
      <c r="M46" s="836"/>
      <c r="N46" s="836"/>
      <c r="O46" s="839"/>
    </row>
    <row r="47" spans="1:15" ht="15.75" thickBot="1" x14ac:dyDescent="0.25">
      <c r="A47" s="1096" t="s">
        <v>507</v>
      </c>
      <c r="B47" s="1097"/>
      <c r="C47" s="1098"/>
      <c r="D47" s="1098"/>
      <c r="E47" s="1098"/>
      <c r="F47" s="1098"/>
      <c r="G47" s="1098"/>
      <c r="H47" s="1098"/>
      <c r="I47" s="1098"/>
      <c r="J47" s="1098"/>
      <c r="K47" s="1098"/>
      <c r="L47" s="1098"/>
      <c r="M47" s="1098"/>
      <c r="N47" s="893"/>
      <c r="O47" s="839"/>
    </row>
    <row r="48" spans="1:15" ht="16.5" thickTop="1" thickBot="1" x14ac:dyDescent="0.25">
      <c r="A48" s="1099" t="s">
        <v>4</v>
      </c>
      <c r="B48" s="1100"/>
      <c r="C48" s="1100"/>
      <c r="D48" s="1913" t="s">
        <v>508</v>
      </c>
      <c r="E48" s="1914"/>
      <c r="F48" s="1915"/>
      <c r="G48" s="1101"/>
      <c r="H48" s="1102" t="s">
        <v>509</v>
      </c>
      <c r="I48" s="1101"/>
      <c r="J48" s="1103"/>
      <c r="K48" s="1104"/>
      <c r="L48" s="1913" t="s">
        <v>55</v>
      </c>
      <c r="M48" s="1916"/>
      <c r="N48" s="1917"/>
      <c r="O48" s="1105" t="s">
        <v>7</v>
      </c>
    </row>
    <row r="49" spans="1:15" x14ac:dyDescent="0.2">
      <c r="A49" s="1106"/>
      <c r="B49" s="1107"/>
      <c r="C49" s="1107"/>
      <c r="D49" s="1108" t="s">
        <v>309</v>
      </c>
      <c r="E49" s="1107"/>
      <c r="F49" s="1109"/>
      <c r="G49" s="1110"/>
      <c r="H49" s="1111"/>
      <c r="I49" s="1111"/>
      <c r="J49" s="1111"/>
      <c r="K49" s="1112"/>
      <c r="L49" s="1110"/>
      <c r="M49" s="1113"/>
      <c r="N49" s="1114"/>
      <c r="O49" s="1115">
        <v>0</v>
      </c>
    </row>
    <row r="50" spans="1:15" ht="15.75" thickBot="1" x14ac:dyDescent="0.25">
      <c r="A50" s="1116"/>
      <c r="B50" s="1117"/>
      <c r="C50" s="1098"/>
      <c r="D50" s="1118"/>
      <c r="E50" s="1098"/>
      <c r="F50" s="1119"/>
      <c r="G50" s="1118"/>
      <c r="H50" s="1098"/>
      <c r="I50" s="1098"/>
      <c r="J50" s="1098"/>
      <c r="K50" s="1119"/>
      <c r="L50" s="1120"/>
      <c r="M50" s="1063"/>
      <c r="N50" s="1065"/>
      <c r="O50" s="1121"/>
    </row>
    <row r="51" spans="1:15" ht="15.75" thickTop="1" x14ac:dyDescent="0.2">
      <c r="A51" s="899"/>
      <c r="B51" s="836"/>
      <c r="C51" s="836"/>
      <c r="D51" s="836"/>
      <c r="E51" s="836"/>
      <c r="F51" s="836"/>
      <c r="G51" s="836"/>
      <c r="H51" s="836"/>
      <c r="I51" s="836"/>
      <c r="J51" s="836"/>
      <c r="K51" s="836"/>
      <c r="L51" s="836"/>
      <c r="M51" s="836"/>
      <c r="N51" s="836"/>
      <c r="O51" s="839"/>
    </row>
    <row r="52" spans="1:15" x14ac:dyDescent="0.2">
      <c r="A52" s="1122" t="s">
        <v>510</v>
      </c>
      <c r="B52" s="862"/>
      <c r="C52" s="862"/>
      <c r="D52" s="862"/>
      <c r="E52" s="862"/>
      <c r="F52" s="862"/>
      <c r="G52" s="862"/>
      <c r="H52" s="862"/>
      <c r="I52" s="862"/>
      <c r="J52" s="862"/>
      <c r="K52" s="862"/>
      <c r="L52" s="862"/>
      <c r="M52" s="862"/>
      <c r="N52" s="862"/>
      <c r="O52" s="856"/>
    </row>
    <row r="53" spans="1:15" x14ac:dyDescent="0.2">
      <c r="A53" s="979" t="s">
        <v>4</v>
      </c>
      <c r="B53" s="1021"/>
      <c r="C53" s="931"/>
      <c r="D53" s="950"/>
      <c r="E53" s="1023" t="s">
        <v>511</v>
      </c>
      <c r="F53" s="862"/>
      <c r="G53" s="862"/>
      <c r="H53" s="862"/>
      <c r="I53" s="862"/>
      <c r="J53" s="950"/>
      <c r="K53" s="1023" t="s">
        <v>55</v>
      </c>
      <c r="L53" s="862"/>
      <c r="M53" s="862"/>
      <c r="N53" s="1123" t="s">
        <v>6</v>
      </c>
      <c r="O53" s="1039" t="s">
        <v>7</v>
      </c>
    </row>
    <row r="54" spans="1:15" x14ac:dyDescent="0.2">
      <c r="A54" s="899"/>
      <c r="B54" s="867"/>
      <c r="C54" s="867"/>
      <c r="D54" s="871"/>
      <c r="E54" s="867"/>
      <c r="F54" s="867"/>
      <c r="G54" s="1124"/>
      <c r="H54" s="867"/>
      <c r="I54" s="867"/>
      <c r="J54" s="871"/>
      <c r="K54" s="867"/>
      <c r="L54" s="867"/>
      <c r="M54" s="867"/>
      <c r="N54" s="1090"/>
      <c r="O54" s="864"/>
    </row>
    <row r="55" spans="1:15" x14ac:dyDescent="0.2">
      <c r="A55" s="1125"/>
      <c r="B55" s="931"/>
      <c r="C55" s="931"/>
      <c r="D55" s="930"/>
      <c r="E55" s="980"/>
      <c r="F55" s="980"/>
      <c r="G55" s="980"/>
      <c r="H55" s="980"/>
      <c r="I55" s="980"/>
      <c r="J55" s="934"/>
      <c r="K55" s="980"/>
      <c r="L55" s="862"/>
      <c r="M55" s="862"/>
      <c r="N55" s="989">
        <v>4</v>
      </c>
      <c r="O55" s="1126">
        <v>0</v>
      </c>
    </row>
    <row r="56" spans="1:15" x14ac:dyDescent="0.2">
      <c r="A56" s="1127" t="s">
        <v>512</v>
      </c>
      <c r="B56" s="1128"/>
      <c r="C56" s="862"/>
      <c r="D56" s="871"/>
      <c r="E56" s="1129"/>
      <c r="F56" s="1129"/>
      <c r="G56" s="924"/>
      <c r="H56" s="924"/>
      <c r="I56" s="924"/>
      <c r="J56" s="882"/>
      <c r="K56" s="924"/>
      <c r="L56" s="924"/>
      <c r="M56" s="883"/>
      <c r="N56" s="1078"/>
      <c r="O56" s="1073" t="s">
        <v>513</v>
      </c>
    </row>
    <row r="57" spans="1:15" x14ac:dyDescent="0.2">
      <c r="A57" s="947" t="s">
        <v>514</v>
      </c>
      <c r="B57" s="981" t="s">
        <v>446</v>
      </c>
      <c r="C57" s="931"/>
      <c r="D57" s="981" t="s">
        <v>458</v>
      </c>
      <c r="E57" s="931"/>
      <c r="F57" s="931"/>
      <c r="G57" s="931"/>
      <c r="H57" s="931"/>
      <c r="I57" s="931"/>
      <c r="J57" s="1022" t="s">
        <v>515</v>
      </c>
      <c r="K57" s="1130"/>
      <c r="L57" s="1130"/>
      <c r="M57" s="1130"/>
      <c r="N57" s="989" t="s">
        <v>6</v>
      </c>
      <c r="O57" s="1039" t="s">
        <v>516</v>
      </c>
    </row>
    <row r="58" spans="1:15" x14ac:dyDescent="0.2">
      <c r="A58" s="1033"/>
      <c r="B58" s="1131"/>
      <c r="C58" s="1132"/>
      <c r="D58" s="1081"/>
      <c r="E58" s="853"/>
      <c r="F58" s="853"/>
      <c r="G58" s="853"/>
      <c r="H58" s="853"/>
      <c r="I58" s="853"/>
      <c r="J58" s="1081"/>
      <c r="K58" s="853"/>
      <c r="L58" s="853"/>
      <c r="M58" s="853"/>
      <c r="N58" s="1133" t="s">
        <v>517</v>
      </c>
      <c r="O58" s="1134">
        <v>0</v>
      </c>
    </row>
    <row r="59" spans="1:15" x14ac:dyDescent="0.2">
      <c r="A59" s="1135"/>
      <c r="B59" s="932"/>
      <c r="C59" s="931"/>
      <c r="D59" s="1136" t="s">
        <v>518</v>
      </c>
      <c r="E59" s="1137" t="s">
        <v>519</v>
      </c>
      <c r="F59" s="980"/>
      <c r="G59" s="980"/>
      <c r="H59" s="980"/>
      <c r="I59" s="980"/>
      <c r="J59" s="930" t="s">
        <v>520</v>
      </c>
      <c r="K59" s="980"/>
      <c r="L59" s="980"/>
      <c r="M59" s="980"/>
      <c r="N59" s="935" t="s">
        <v>521</v>
      </c>
      <c r="O59" s="1138">
        <v>0</v>
      </c>
    </row>
    <row r="60" spans="1:15" x14ac:dyDescent="0.2">
      <c r="A60" s="1139"/>
      <c r="B60" s="1140"/>
      <c r="C60" s="1141"/>
      <c r="D60" s="1141"/>
      <c r="E60" s="1141"/>
      <c r="F60" s="1141"/>
      <c r="G60" s="1141"/>
      <c r="H60" s="1141"/>
      <c r="I60" s="1141"/>
      <c r="J60" s="1142" t="s">
        <v>522</v>
      </c>
      <c r="K60" s="910"/>
      <c r="L60" s="910"/>
      <c r="M60" s="910"/>
      <c r="N60" s="1123" t="s">
        <v>521</v>
      </c>
      <c r="O60" s="1143">
        <f>O59</f>
        <v>0</v>
      </c>
    </row>
    <row r="61" spans="1:15" ht="15.75" thickBot="1" x14ac:dyDescent="0.25">
      <c r="A61" s="1060"/>
      <c r="B61" s="1061"/>
      <c r="C61" s="1061"/>
      <c r="D61" s="1061"/>
      <c r="E61" s="1061"/>
      <c r="F61" s="1061"/>
      <c r="G61" s="1061"/>
      <c r="H61" s="1061"/>
      <c r="I61" s="1144"/>
      <c r="J61" s="1145" t="s">
        <v>523</v>
      </c>
      <c r="K61" s="893"/>
      <c r="L61" s="893"/>
      <c r="M61" s="893"/>
      <c r="N61" s="893"/>
      <c r="O61" s="1146">
        <f>O58+O55+O45+O37+F37</f>
        <v>0</v>
      </c>
    </row>
    <row r="62" spans="1:15" ht="15.75" thickTop="1" x14ac:dyDescent="0.2"/>
    <row r="63" spans="1:15" x14ac:dyDescent="0.2">
      <c r="A63" s="1147" t="s">
        <v>524</v>
      </c>
      <c r="B63" s="1898" t="s">
        <v>525</v>
      </c>
      <c r="C63" s="1899"/>
      <c r="D63" s="1899"/>
      <c r="E63" s="1899"/>
      <c r="F63" s="1899"/>
      <c r="G63" s="1899"/>
      <c r="H63" s="1899"/>
      <c r="I63" s="1899"/>
      <c r="J63" s="1899"/>
      <c r="K63" s="1899"/>
      <c r="L63" s="1899"/>
      <c r="M63" s="1899"/>
      <c r="N63" s="1899"/>
      <c r="O63" s="1899"/>
    </row>
    <row r="64" spans="1:15" x14ac:dyDescent="0.2">
      <c r="A64" s="1148"/>
      <c r="B64" s="1149"/>
      <c r="J64" s="1150"/>
    </row>
    <row r="65" spans="1:15" x14ac:dyDescent="0.2">
      <c r="A65" s="1148"/>
      <c r="B65" s="1898" t="s">
        <v>526</v>
      </c>
      <c r="C65" s="1899"/>
      <c r="D65" s="1899"/>
      <c r="E65" s="1899"/>
      <c r="F65" s="1899"/>
      <c r="G65" s="1899"/>
      <c r="H65" s="1899"/>
      <c r="I65" s="1899"/>
      <c r="J65" s="1899"/>
      <c r="K65" s="1899"/>
      <c r="L65" s="1899"/>
      <c r="M65" s="1899"/>
      <c r="N65" s="1899"/>
      <c r="O65" s="1899"/>
    </row>
  </sheetData>
  <mergeCells count="11">
    <mergeCell ref="B65:O65"/>
    <mergeCell ref="E5:F5"/>
    <mergeCell ref="N5:O5"/>
    <mergeCell ref="B12:C12"/>
    <mergeCell ref="H12:I12"/>
    <mergeCell ref="D13:E13"/>
    <mergeCell ref="H23:I23"/>
    <mergeCell ref="M40:N40"/>
    <mergeCell ref="D48:F48"/>
    <mergeCell ref="L48:N48"/>
    <mergeCell ref="B63:O63"/>
  </mergeCells>
  <pageMargins left="0.7" right="0.7" top="0.75" bottom="0.75" header="0.3" footer="0.3"/>
  <pageSetup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43"/>
  </sheetPr>
  <dimension ref="A1:O92"/>
  <sheetViews>
    <sheetView topLeftCell="C1" zoomScale="70" zoomScaleNormal="70" zoomScaleSheetLayoutView="75" workbookViewId="0">
      <selection activeCell="J3" sqref="J3"/>
    </sheetView>
  </sheetViews>
  <sheetFormatPr defaultRowHeight="15" x14ac:dyDescent="0.2"/>
  <cols>
    <col min="1" max="1" width="4.77734375" customWidth="1"/>
    <col min="2" max="2" width="12.5546875" customWidth="1"/>
    <col min="3" max="3" width="14.21875" customWidth="1"/>
    <col min="4" max="4" width="10.88671875" customWidth="1"/>
    <col min="5" max="5" width="14.44140625" customWidth="1"/>
    <col min="6" max="6" width="15.33203125" customWidth="1"/>
    <col min="7" max="7" width="13" customWidth="1"/>
    <col min="8" max="8" width="8.6640625" customWidth="1"/>
    <col min="9" max="9" width="8.21875" customWidth="1"/>
    <col min="10" max="10" width="9.109375" customWidth="1"/>
    <col min="11" max="11" width="14.109375" customWidth="1"/>
    <col min="12" max="12" width="7.77734375" customWidth="1"/>
    <col min="13" max="13" width="8.21875" customWidth="1"/>
    <col min="14" max="14" width="8.33203125" customWidth="1"/>
    <col min="15" max="15" width="13.33203125" customWidth="1"/>
  </cols>
  <sheetData>
    <row r="1" spans="1:15" ht="18.75" thickTop="1" x14ac:dyDescent="0.2">
      <c r="A1" s="1206" t="s">
        <v>549</v>
      </c>
      <c r="B1" s="1207"/>
      <c r="C1" s="1184"/>
      <c r="D1" s="1184"/>
      <c r="E1" s="1184"/>
      <c r="F1" s="1208"/>
      <c r="G1" s="1209" t="s">
        <v>550</v>
      </c>
      <c r="H1" s="1184"/>
      <c r="I1" s="1184"/>
      <c r="J1" s="1184"/>
      <c r="K1" s="1184"/>
      <c r="L1" s="1210"/>
      <c r="M1" s="1210"/>
      <c r="N1" s="1210"/>
      <c r="O1" s="1211"/>
    </row>
    <row r="2" spans="1:15" ht="15.75" x14ac:dyDescent="0.2">
      <c r="A2" s="1212" t="s">
        <v>161</v>
      </c>
      <c r="B2" s="1213"/>
      <c r="C2" s="60"/>
      <c r="D2" s="60"/>
      <c r="E2" s="60"/>
      <c r="F2" s="1214" t="s">
        <v>162</v>
      </c>
      <c r="G2" s="1214"/>
      <c r="H2" s="60"/>
      <c r="I2" s="60"/>
      <c r="J2" s="60"/>
      <c r="K2" s="60"/>
      <c r="L2" s="613"/>
      <c r="M2" s="613"/>
      <c r="N2" s="613"/>
      <c r="O2" s="614"/>
    </row>
    <row r="3" spans="1:15" ht="16.5" thickBot="1" x14ac:dyDescent="0.25">
      <c r="A3" s="1918" t="s">
        <v>541</v>
      </c>
      <c r="B3" s="1919"/>
      <c r="C3" s="1919"/>
      <c r="D3" s="1390">
        <f>'Input Data'!D29</f>
        <v>0</v>
      </c>
      <c r="E3" s="1215"/>
      <c r="F3" s="135"/>
      <c r="G3" s="135"/>
      <c r="H3" s="1920" t="s">
        <v>215</v>
      </c>
      <c r="I3" s="1921"/>
      <c r="J3" s="824">
        <f>'Input Data'!D6</f>
        <v>0</v>
      </c>
      <c r="K3" s="133"/>
      <c r="L3" s="1216"/>
      <c r="M3" s="1216"/>
      <c r="N3" s="1216"/>
      <c r="O3" s="1217"/>
    </row>
    <row r="4" spans="1:15" ht="16.5" thickTop="1" x14ac:dyDescent="0.2">
      <c r="A4" s="1218" t="s">
        <v>551</v>
      </c>
      <c r="B4" s="1175"/>
      <c r="C4" s="131"/>
      <c r="D4" s="131"/>
      <c r="E4" s="131"/>
      <c r="F4" s="131"/>
      <c r="G4" s="131"/>
      <c r="H4" s="131"/>
      <c r="I4" s="131"/>
      <c r="J4" s="1219"/>
      <c r="K4" s="1220"/>
      <c r="L4" s="613"/>
      <c r="M4" s="613"/>
      <c r="N4" s="613"/>
      <c r="O4" s="614"/>
    </row>
    <row r="5" spans="1:15" ht="15.75" x14ac:dyDescent="0.2">
      <c r="A5" s="1221" t="s">
        <v>552</v>
      </c>
      <c r="B5" s="1222"/>
      <c r="C5" s="60"/>
      <c r="D5" s="60"/>
      <c r="E5" s="60"/>
      <c r="F5" s="60"/>
      <c r="G5" s="60"/>
      <c r="H5" s="60"/>
      <c r="I5" s="60"/>
      <c r="J5" s="831"/>
      <c r="K5" s="823"/>
      <c r="L5" s="1223"/>
      <c r="M5" s="1223"/>
      <c r="N5" s="1223"/>
      <c r="O5" s="1224"/>
    </row>
    <row r="6" spans="1:15" ht="30" x14ac:dyDescent="0.2">
      <c r="A6" s="670" t="s">
        <v>553</v>
      </c>
      <c r="B6" s="671" t="s">
        <v>4</v>
      </c>
      <c r="C6" s="672" t="s">
        <v>40</v>
      </c>
      <c r="D6" s="1922" t="s">
        <v>25</v>
      </c>
      <c r="E6" s="1923"/>
      <c r="F6" s="672" t="s">
        <v>45</v>
      </c>
      <c r="G6" s="672" t="s">
        <v>46</v>
      </c>
      <c r="H6" s="672" t="s">
        <v>51</v>
      </c>
      <c r="I6" s="1924" t="s">
        <v>42</v>
      </c>
      <c r="J6" s="1925"/>
      <c r="K6" s="1925"/>
      <c r="L6" s="672" t="s">
        <v>47</v>
      </c>
      <c r="M6" s="672" t="s">
        <v>554</v>
      </c>
      <c r="N6" s="672" t="s">
        <v>325</v>
      </c>
      <c r="O6" s="1225" t="s">
        <v>43</v>
      </c>
    </row>
    <row r="7" spans="1:15" x14ac:dyDescent="0.2">
      <c r="A7" s="1226">
        <v>1</v>
      </c>
      <c r="B7" s="1227"/>
      <c r="C7" s="146"/>
      <c r="D7" s="147"/>
      <c r="E7" s="148"/>
      <c r="F7" s="146"/>
      <c r="G7" s="146"/>
      <c r="H7" s="146"/>
      <c r="I7" s="147"/>
      <c r="J7" s="161"/>
      <c r="K7" s="148"/>
      <c r="L7" s="146"/>
      <c r="M7" s="1539">
        <f>IF('Input Data'!$H$46&lt;'Input Data'!$H$39,L7,L7-2)</f>
        <v>0</v>
      </c>
      <c r="N7" s="663"/>
      <c r="O7" s="1228">
        <f t="shared" ref="O7:O16" si="0">M7*N7</f>
        <v>0</v>
      </c>
    </row>
    <row r="8" spans="1:15" x14ac:dyDescent="0.2">
      <c r="A8" s="1229"/>
      <c r="B8" s="1230"/>
      <c r="C8" s="150"/>
      <c r="D8" s="151"/>
      <c r="E8" s="152"/>
      <c r="F8" s="150"/>
      <c r="G8" s="150"/>
      <c r="H8" s="150"/>
      <c r="I8" s="151"/>
      <c r="J8" s="162"/>
      <c r="K8" s="152"/>
      <c r="L8" s="150"/>
      <c r="M8" s="1539">
        <f>IF('Input Data'!$H$46&lt;'Input Data'!$H$39,L8,L8-2)</f>
        <v>0</v>
      </c>
      <c r="N8" s="664"/>
      <c r="O8" s="1231">
        <f t="shared" si="0"/>
        <v>0</v>
      </c>
    </row>
    <row r="9" spans="1:15" x14ac:dyDescent="0.2">
      <c r="A9" s="1229"/>
      <c r="B9" s="1230"/>
      <c r="C9" s="150"/>
      <c r="D9" s="151"/>
      <c r="E9" s="152"/>
      <c r="F9" s="150"/>
      <c r="G9" s="150"/>
      <c r="H9" s="150"/>
      <c r="I9" s="151"/>
      <c r="J9" s="162"/>
      <c r="K9" s="152"/>
      <c r="L9" s="150"/>
      <c r="M9" s="1539">
        <f>IF('Input Data'!$H$46&lt;'Input Data'!$H$39,L9,L9-2)</f>
        <v>0</v>
      </c>
      <c r="N9" s="664"/>
      <c r="O9" s="1231">
        <f t="shared" si="0"/>
        <v>0</v>
      </c>
    </row>
    <row r="10" spans="1:15" x14ac:dyDescent="0.2">
      <c r="A10" s="1229"/>
      <c r="B10" s="1230"/>
      <c r="C10" s="150"/>
      <c r="D10" s="151"/>
      <c r="E10" s="152"/>
      <c r="F10" s="150"/>
      <c r="G10" s="150"/>
      <c r="H10" s="150"/>
      <c r="I10" s="151"/>
      <c r="J10" s="162"/>
      <c r="K10" s="152"/>
      <c r="L10" s="150"/>
      <c r="M10" s="1539">
        <f>IF('Input Data'!$H$46&lt;'Input Data'!$H$39,L10,L10-2)</f>
        <v>0</v>
      </c>
      <c r="N10" s="664"/>
      <c r="O10" s="1231">
        <f t="shared" si="0"/>
        <v>0</v>
      </c>
    </row>
    <row r="11" spans="1:15" x14ac:dyDescent="0.2">
      <c r="A11" s="1229"/>
      <c r="B11" s="1230"/>
      <c r="C11" s="150"/>
      <c r="D11" s="151"/>
      <c r="E11" s="152"/>
      <c r="F11" s="150"/>
      <c r="G11" s="150"/>
      <c r="H11" s="150"/>
      <c r="I11" s="151"/>
      <c r="J11" s="162"/>
      <c r="K11" s="152"/>
      <c r="L11" s="150"/>
      <c r="M11" s="1539">
        <f>IF('Input Data'!$H$46&lt;'Input Data'!$H$39,L11,L11-2)</f>
        <v>0</v>
      </c>
      <c r="N11" s="664"/>
      <c r="O11" s="1231">
        <f t="shared" si="0"/>
        <v>0</v>
      </c>
    </row>
    <row r="12" spans="1:15" x14ac:dyDescent="0.2">
      <c r="A12" s="1229"/>
      <c r="B12" s="1230"/>
      <c r="C12" s="150"/>
      <c r="D12" s="151"/>
      <c r="E12" s="152"/>
      <c r="F12" s="150"/>
      <c r="G12" s="150"/>
      <c r="H12" s="150"/>
      <c r="I12" s="151"/>
      <c r="J12" s="162"/>
      <c r="K12" s="152"/>
      <c r="L12" s="150"/>
      <c r="M12" s="1539">
        <f>IF('Input Data'!$H$46&lt;'Input Data'!$H$39,L12,L12-2)</f>
        <v>0</v>
      </c>
      <c r="N12" s="664"/>
      <c r="O12" s="1231">
        <f t="shared" si="0"/>
        <v>0</v>
      </c>
    </row>
    <row r="13" spans="1:15" x14ac:dyDescent="0.2">
      <c r="A13" s="1229"/>
      <c r="B13" s="1230"/>
      <c r="C13" s="150"/>
      <c r="D13" s="151"/>
      <c r="E13" s="152"/>
      <c r="F13" s="150"/>
      <c r="G13" s="150"/>
      <c r="H13" s="150"/>
      <c r="I13" s="151"/>
      <c r="J13" s="162"/>
      <c r="K13" s="152"/>
      <c r="L13" s="150"/>
      <c r="M13" s="1539">
        <f>IF('Input Data'!$H$46&lt;'Input Data'!$H$39,L13,L13-2)</f>
        <v>0</v>
      </c>
      <c r="N13" s="664"/>
      <c r="O13" s="1231">
        <f t="shared" si="0"/>
        <v>0</v>
      </c>
    </row>
    <row r="14" spans="1:15" x14ac:dyDescent="0.2">
      <c r="A14" s="1229"/>
      <c r="B14" s="1230"/>
      <c r="C14" s="150"/>
      <c r="D14" s="151"/>
      <c r="E14" s="152"/>
      <c r="F14" s="150"/>
      <c r="G14" s="150"/>
      <c r="H14" s="150"/>
      <c r="I14" s="151"/>
      <c r="J14" s="162"/>
      <c r="K14" s="152"/>
      <c r="L14" s="150"/>
      <c r="M14" s="1539">
        <f>IF('Input Data'!$H$46&lt;'Input Data'!$H$39,L14,L14-2)</f>
        <v>0</v>
      </c>
      <c r="N14" s="664"/>
      <c r="O14" s="1231">
        <f t="shared" si="0"/>
        <v>0</v>
      </c>
    </row>
    <row r="15" spans="1:15" x14ac:dyDescent="0.2">
      <c r="A15" s="1229"/>
      <c r="B15" s="1230"/>
      <c r="C15" s="150"/>
      <c r="D15" s="151"/>
      <c r="E15" s="152"/>
      <c r="F15" s="150"/>
      <c r="G15" s="150"/>
      <c r="H15" s="150"/>
      <c r="I15" s="151"/>
      <c r="J15" s="162"/>
      <c r="K15" s="152"/>
      <c r="L15" s="150"/>
      <c r="M15" s="1539">
        <f>IF('Input Data'!$H$46&lt;'Input Data'!$H$39,L15,L15-2)</f>
        <v>0</v>
      </c>
      <c r="N15" s="664"/>
      <c r="O15" s="1231">
        <f t="shared" si="0"/>
        <v>0</v>
      </c>
    </row>
    <row r="16" spans="1:15" ht="15.75" thickBot="1" x14ac:dyDescent="0.25">
      <c r="A16" s="1232"/>
      <c r="B16" s="1233"/>
      <c r="C16" s="154"/>
      <c r="D16" s="155"/>
      <c r="E16" s="156"/>
      <c r="F16" s="154"/>
      <c r="G16" s="154"/>
      <c r="H16" s="154"/>
      <c r="I16" s="155"/>
      <c r="J16" s="163"/>
      <c r="K16" s="156"/>
      <c r="L16" s="154"/>
      <c r="M16" s="1539">
        <f>IF('Input Data'!$H$46&lt;'Input Data'!$H$39,L16,L16-2)</f>
        <v>0</v>
      </c>
      <c r="N16" s="665"/>
      <c r="O16" s="1234">
        <f t="shared" si="0"/>
        <v>0</v>
      </c>
    </row>
    <row r="17" spans="1:15" ht="15.75" thickBot="1" x14ac:dyDescent="0.25">
      <c r="A17" s="1235"/>
      <c r="B17" s="1236"/>
      <c r="C17" s="1236"/>
      <c r="D17" s="1236"/>
      <c r="E17" s="1236"/>
      <c r="F17" s="1236"/>
      <c r="G17" s="1236"/>
      <c r="H17" s="1237"/>
      <c r="I17" s="1237"/>
      <c r="J17" s="1237"/>
      <c r="K17" s="1237"/>
      <c r="L17" s="1236"/>
      <c r="M17" s="1236"/>
      <c r="N17" s="1238" t="s">
        <v>555</v>
      </c>
      <c r="O17" s="1239">
        <f>SUM(O7:O16)</f>
        <v>0</v>
      </c>
    </row>
    <row r="18" spans="1:15" ht="16.5" thickTop="1" thickBot="1" x14ac:dyDescent="0.25">
      <c r="A18" s="1240"/>
      <c r="B18" s="173"/>
      <c r="C18" s="173"/>
      <c r="D18" s="173"/>
      <c r="E18" s="173"/>
      <c r="F18" s="173"/>
      <c r="G18" s="173"/>
      <c r="L18" s="173"/>
      <c r="M18" s="173"/>
      <c r="N18" s="1193" t="s">
        <v>544</v>
      </c>
      <c r="O18" s="1241"/>
    </row>
    <row r="19" spans="1:15" ht="15.75" thickBot="1" x14ac:dyDescent="0.25">
      <c r="A19" s="1242" t="s">
        <v>556</v>
      </c>
      <c r="B19" s="133"/>
      <c r="C19" s="133"/>
      <c r="D19" s="133"/>
      <c r="E19" s="133"/>
      <c r="F19" s="133"/>
      <c r="G19" s="133"/>
      <c r="H19" s="133"/>
      <c r="I19" s="133"/>
      <c r="J19" s="1243"/>
      <c r="K19" s="1244"/>
    </row>
    <row r="20" spans="1:15" ht="15.75" thickTop="1" x14ac:dyDescent="0.2">
      <c r="A20" s="1245"/>
      <c r="B20" s="1926" t="s">
        <v>557</v>
      </c>
      <c r="C20" s="1927"/>
      <c r="D20" s="1927"/>
      <c r="E20" s="1927"/>
      <c r="F20" s="1927"/>
      <c r="G20" s="1926" t="s">
        <v>558</v>
      </c>
      <c r="H20" s="1926"/>
      <c r="I20" s="1926"/>
      <c r="J20" s="1926"/>
      <c r="K20" s="1926"/>
      <c r="L20" s="1939" t="s">
        <v>559</v>
      </c>
      <c r="M20" s="1246"/>
      <c r="N20" s="1246"/>
      <c r="O20" s="1247"/>
    </row>
    <row r="21" spans="1:15" x14ac:dyDescent="0.2">
      <c r="A21" s="1928" t="s">
        <v>560</v>
      </c>
      <c r="B21" s="1248"/>
      <c r="C21" s="1248"/>
      <c r="D21" s="1881" t="s">
        <v>561</v>
      </c>
      <c r="E21" s="1881" t="s">
        <v>562</v>
      </c>
      <c r="F21" s="1881" t="s">
        <v>563</v>
      </c>
      <c r="G21" s="1881" t="s">
        <v>564</v>
      </c>
      <c r="H21" s="1881" t="s">
        <v>429</v>
      </c>
      <c r="I21" s="1881" t="s">
        <v>561</v>
      </c>
      <c r="J21" s="1881" t="s">
        <v>562</v>
      </c>
      <c r="K21" s="1881" t="s">
        <v>563</v>
      </c>
      <c r="L21" s="1940"/>
      <c r="M21" s="1946" t="s">
        <v>554</v>
      </c>
      <c r="N21" s="1946" t="s">
        <v>325</v>
      </c>
      <c r="O21" s="1932" t="s">
        <v>43</v>
      </c>
    </row>
    <row r="22" spans="1:15" ht="27" customHeight="1" x14ac:dyDescent="0.2">
      <c r="A22" s="1929"/>
      <c r="B22" s="1249" t="s">
        <v>564</v>
      </c>
      <c r="C22" s="1249" t="s">
        <v>429</v>
      </c>
      <c r="D22" s="1930"/>
      <c r="E22" s="1930"/>
      <c r="F22" s="1930"/>
      <c r="G22" s="1931"/>
      <c r="H22" s="1931"/>
      <c r="I22" s="1930"/>
      <c r="J22" s="1930"/>
      <c r="K22" s="1930"/>
      <c r="L22" s="1941"/>
      <c r="M22" s="1941"/>
      <c r="N22" s="1941"/>
      <c r="O22" s="1933"/>
    </row>
    <row r="23" spans="1:15" x14ac:dyDescent="0.2">
      <c r="A23" s="1250">
        <v>1</v>
      </c>
      <c r="B23" s="1251">
        <v>41188.25</v>
      </c>
      <c r="C23" s="1252" t="s">
        <v>565</v>
      </c>
      <c r="D23" s="1253" t="s">
        <v>566</v>
      </c>
      <c r="E23" s="1253" t="s">
        <v>567</v>
      </c>
      <c r="F23" s="1254">
        <v>41188.489583333336</v>
      </c>
      <c r="G23" s="1251">
        <v>41189.666666666664</v>
      </c>
      <c r="H23" s="1252" t="s">
        <v>567</v>
      </c>
      <c r="I23" s="1253" t="s">
        <v>568</v>
      </c>
      <c r="J23" s="1255" t="s">
        <v>565</v>
      </c>
      <c r="K23" s="1254">
        <v>41189.885416666664</v>
      </c>
      <c r="L23" s="1351">
        <f>((F23-B23)*24)+((K23-G23)*24)</f>
        <v>11.000000000058208</v>
      </c>
      <c r="M23" s="1540">
        <f>IF('Input Data'!$H$46&lt;'Input Data'!$H$39,L23,L23-2)</f>
        <v>11.000000000058208</v>
      </c>
      <c r="N23" s="1256"/>
      <c r="O23" s="1257">
        <f t="shared" ref="O23:O32" si="1">M23*N23</f>
        <v>0</v>
      </c>
    </row>
    <row r="24" spans="1:15" x14ac:dyDescent="0.2">
      <c r="A24" s="1258"/>
      <c r="B24" s="1259"/>
      <c r="C24" s="1260"/>
      <c r="D24" s="1261"/>
      <c r="E24" s="1262"/>
      <c r="F24" s="1263"/>
      <c r="G24" s="1259"/>
      <c r="H24" s="1264"/>
      <c r="I24" s="1262"/>
      <c r="J24" s="1264"/>
      <c r="K24" s="1263"/>
      <c r="L24" s="1352">
        <f t="shared" ref="L24:L32" si="2">((F24-B24)*24)+((K24-G24)*24)</f>
        <v>0</v>
      </c>
      <c r="M24" s="1541">
        <f>IF('Input Data'!$H$46&lt;'Input Data'!$H$39,L24,L24-2)</f>
        <v>0</v>
      </c>
      <c r="N24" s="1265"/>
      <c r="O24" s="1266">
        <f t="shared" si="1"/>
        <v>0</v>
      </c>
    </row>
    <row r="25" spans="1:15" x14ac:dyDescent="0.2">
      <c r="A25" s="1258"/>
      <c r="B25" s="1259"/>
      <c r="C25" s="1262"/>
      <c r="D25" s="1260"/>
      <c r="E25" s="1261"/>
      <c r="F25" s="1263"/>
      <c r="G25" s="1259"/>
      <c r="H25" s="1262"/>
      <c r="I25" s="1262"/>
      <c r="J25" s="1261"/>
      <c r="K25" s="1263"/>
      <c r="L25" s="1352">
        <f t="shared" si="2"/>
        <v>0</v>
      </c>
      <c r="M25" s="1541">
        <f>IF('Input Data'!$H$46&lt;'Input Data'!$H$39,L25,L25-2)</f>
        <v>0</v>
      </c>
      <c r="N25" s="1265"/>
      <c r="O25" s="1266">
        <f t="shared" si="1"/>
        <v>0</v>
      </c>
    </row>
    <row r="26" spans="1:15" x14ac:dyDescent="0.2">
      <c r="A26" s="1258"/>
      <c r="B26" s="1259"/>
      <c r="C26" s="1262"/>
      <c r="D26" s="1260"/>
      <c r="E26" s="1261"/>
      <c r="F26" s="1263"/>
      <c r="G26" s="1259"/>
      <c r="H26" s="1262"/>
      <c r="I26" s="1262"/>
      <c r="J26" s="1261"/>
      <c r="K26" s="1263"/>
      <c r="L26" s="1352">
        <f t="shared" si="2"/>
        <v>0</v>
      </c>
      <c r="M26" s="1541">
        <f>IF('Input Data'!$H$46&lt;'Input Data'!$H$39,L26,L26-2)</f>
        <v>0</v>
      </c>
      <c r="N26" s="1265"/>
      <c r="O26" s="1266">
        <f t="shared" si="1"/>
        <v>0</v>
      </c>
    </row>
    <row r="27" spans="1:15" x14ac:dyDescent="0.2">
      <c r="A27" s="1258"/>
      <c r="B27" s="1259"/>
      <c r="C27" s="1262"/>
      <c r="D27" s="1260"/>
      <c r="E27" s="1261"/>
      <c r="F27" s="1263"/>
      <c r="G27" s="1259"/>
      <c r="H27" s="1262"/>
      <c r="I27" s="1262"/>
      <c r="J27" s="1261"/>
      <c r="K27" s="1263"/>
      <c r="L27" s="1352">
        <f t="shared" si="2"/>
        <v>0</v>
      </c>
      <c r="M27" s="1541">
        <f>IF('Input Data'!$H$46&lt;'Input Data'!$H$39,L27,L27-2)</f>
        <v>0</v>
      </c>
      <c r="N27" s="1265"/>
      <c r="O27" s="1266">
        <f t="shared" si="1"/>
        <v>0</v>
      </c>
    </row>
    <row r="28" spans="1:15" x14ac:dyDescent="0.2">
      <c r="A28" s="1258"/>
      <c r="B28" s="1259"/>
      <c r="C28" s="1262"/>
      <c r="D28" s="1260"/>
      <c r="E28" s="1261"/>
      <c r="F28" s="1263"/>
      <c r="G28" s="1259"/>
      <c r="H28" s="1262"/>
      <c r="I28" s="1262"/>
      <c r="J28" s="1261"/>
      <c r="K28" s="1263"/>
      <c r="L28" s="1352">
        <f t="shared" si="2"/>
        <v>0</v>
      </c>
      <c r="M28" s="1541">
        <f>IF('Input Data'!$H$46&lt;'Input Data'!$H$39,L28,L28-2)</f>
        <v>0</v>
      </c>
      <c r="N28" s="1265"/>
      <c r="O28" s="1266">
        <f t="shared" si="1"/>
        <v>0</v>
      </c>
    </row>
    <row r="29" spans="1:15" x14ac:dyDescent="0.2">
      <c r="A29" s="1258"/>
      <c r="B29" s="1259"/>
      <c r="C29" s="1262"/>
      <c r="D29" s="1260"/>
      <c r="E29" s="1261"/>
      <c r="F29" s="1263"/>
      <c r="G29" s="1259"/>
      <c r="H29" s="1267"/>
      <c r="I29" s="1268"/>
      <c r="J29" s="1261"/>
      <c r="K29" s="1263"/>
      <c r="L29" s="1352">
        <f t="shared" si="2"/>
        <v>0</v>
      </c>
      <c r="M29" s="1541">
        <f>IF('Input Data'!$H$46&lt;'Input Data'!$H$39,L29,L29-2)</f>
        <v>0</v>
      </c>
      <c r="N29" s="1265"/>
      <c r="O29" s="1266">
        <f t="shared" si="1"/>
        <v>0</v>
      </c>
    </row>
    <row r="30" spans="1:15" ht="15.75" customHeight="1" x14ac:dyDescent="0.2">
      <c r="A30" s="1258"/>
      <c r="B30" s="1259"/>
      <c r="C30" s="1262"/>
      <c r="D30" s="1260"/>
      <c r="E30" s="1261"/>
      <c r="F30" s="1263"/>
      <c r="G30" s="1259"/>
      <c r="H30" s="1269"/>
      <c r="I30" s="1262"/>
      <c r="J30" s="1267"/>
      <c r="K30" s="1263"/>
      <c r="L30" s="1352">
        <f t="shared" si="2"/>
        <v>0</v>
      </c>
      <c r="M30" s="1541">
        <f>IF('Input Data'!$H$46&lt;'Input Data'!$H$39,L30,L30-2)</f>
        <v>0</v>
      </c>
      <c r="N30" s="1265"/>
      <c r="O30" s="1266">
        <f t="shared" si="1"/>
        <v>0</v>
      </c>
    </row>
    <row r="31" spans="1:15" x14ac:dyDescent="0.2">
      <c r="A31" s="1258"/>
      <c r="B31" s="1259"/>
      <c r="C31" s="1262"/>
      <c r="D31" s="1260"/>
      <c r="E31" s="1261"/>
      <c r="F31" s="1263"/>
      <c r="G31" s="1259"/>
      <c r="H31" s="1269"/>
      <c r="I31" s="1262"/>
      <c r="J31" s="1267"/>
      <c r="K31" s="1263"/>
      <c r="L31" s="1352">
        <f t="shared" si="2"/>
        <v>0</v>
      </c>
      <c r="M31" s="1541">
        <f>IF('Input Data'!$H$46&lt;'Input Data'!$H$39,L31,L31-2)</f>
        <v>0</v>
      </c>
      <c r="N31" s="1265"/>
      <c r="O31" s="1266">
        <f t="shared" si="1"/>
        <v>0</v>
      </c>
    </row>
    <row r="32" spans="1:15" ht="15.75" thickBot="1" x14ac:dyDescent="0.25">
      <c r="A32" s="1270"/>
      <c r="B32" s="1271"/>
      <c r="C32" s="1272"/>
      <c r="D32" s="1272"/>
      <c r="E32" s="1272"/>
      <c r="F32" s="1273"/>
      <c r="G32" s="1271"/>
      <c r="H32" s="1272"/>
      <c r="I32" s="1274"/>
      <c r="J32" s="1272"/>
      <c r="K32" s="1273"/>
      <c r="L32" s="1353">
        <f t="shared" si="2"/>
        <v>0</v>
      </c>
      <c r="M32" s="1541">
        <f>IF('Input Data'!$H$46&lt;'Input Data'!$H$39,L32,L32-2)</f>
        <v>0</v>
      </c>
      <c r="N32" s="1275"/>
      <c r="O32" s="1276">
        <f t="shared" si="1"/>
        <v>0</v>
      </c>
    </row>
    <row r="33" spans="1:15" ht="15.75" thickBot="1" x14ac:dyDescent="0.25">
      <c r="A33" s="174"/>
      <c r="B33" s="172"/>
      <c r="C33" s="172"/>
      <c r="D33" s="172"/>
      <c r="E33" s="172"/>
      <c r="F33" s="172"/>
      <c r="G33" s="172"/>
      <c r="H33" s="172"/>
      <c r="I33" s="172"/>
      <c r="J33" s="1216"/>
      <c r="K33" s="1216"/>
      <c r="L33" s="1216"/>
      <c r="M33" s="1216"/>
      <c r="N33" s="1277" t="s">
        <v>569</v>
      </c>
      <c r="O33" s="1278">
        <f>SUM(O23:O32)</f>
        <v>0</v>
      </c>
    </row>
    <row r="34" spans="1:15" ht="16.5" thickTop="1" thickBot="1" x14ac:dyDescent="0.25">
      <c r="A34" s="1240"/>
      <c r="B34" s="173"/>
      <c r="C34" s="173"/>
      <c r="D34" s="173"/>
      <c r="E34" s="173"/>
      <c r="F34" s="173"/>
      <c r="G34" s="173"/>
      <c r="H34" s="173"/>
      <c r="I34" s="173"/>
      <c r="L34" s="1210"/>
      <c r="M34" s="1210"/>
      <c r="N34" s="1279" t="s">
        <v>544</v>
      </c>
      <c r="O34" s="1280"/>
    </row>
    <row r="35" spans="1:15" ht="15.75" thickBot="1" x14ac:dyDescent="0.25">
      <c r="A35" s="164"/>
      <c r="B35" s="165"/>
      <c r="C35" s="165"/>
      <c r="D35" s="165"/>
      <c r="E35" s="165"/>
      <c r="F35" s="165"/>
      <c r="G35" s="165"/>
      <c r="H35" s="165"/>
      <c r="I35" s="165"/>
      <c r="L35" s="613"/>
      <c r="M35" s="613"/>
      <c r="N35" s="1193" t="s">
        <v>570</v>
      </c>
      <c r="O35" s="1281">
        <f>O17+O33</f>
        <v>0</v>
      </c>
    </row>
    <row r="36" spans="1:15" ht="16.5" thickTop="1" thickBot="1" x14ac:dyDescent="0.25">
      <c r="A36" s="164"/>
      <c r="B36" s="165"/>
      <c r="C36" s="165"/>
      <c r="D36" s="165"/>
      <c r="E36" s="165"/>
      <c r="F36" s="165"/>
      <c r="G36" s="165"/>
      <c r="H36" s="165"/>
      <c r="I36" s="165"/>
      <c r="L36" s="613"/>
      <c r="M36" s="613"/>
      <c r="N36" s="1193" t="s">
        <v>571</v>
      </c>
      <c r="O36" s="1282">
        <f>O18+O34</f>
        <v>0</v>
      </c>
    </row>
    <row r="37" spans="1:15" ht="30.75" customHeight="1" thickBot="1" x14ac:dyDescent="0.3">
      <c r="A37" s="158"/>
      <c r="B37" s="60"/>
      <c r="C37" s="60"/>
      <c r="D37" s="60"/>
      <c r="E37" s="60"/>
      <c r="F37" s="60"/>
      <c r="G37" s="60"/>
      <c r="H37" s="133"/>
      <c r="I37" s="133"/>
      <c r="J37" s="1243"/>
      <c r="K37" s="1244"/>
      <c r="L37" s="1216"/>
      <c r="M37" s="1216"/>
      <c r="N37" s="1283" t="s">
        <v>572</v>
      </c>
      <c r="O37" s="1284">
        <f>O35-O36</f>
        <v>0</v>
      </c>
    </row>
    <row r="38" spans="1:15" ht="15.75" thickTop="1" x14ac:dyDescent="0.2">
      <c r="A38" s="134" t="s">
        <v>573</v>
      </c>
      <c r="B38" s="1207"/>
      <c r="C38" s="1285"/>
      <c r="D38" s="1285"/>
      <c r="E38" s="1285"/>
      <c r="F38" s="131"/>
      <c r="G38" s="131"/>
      <c r="H38" s="1210"/>
      <c r="I38" s="1210"/>
      <c r="J38" s="1210"/>
      <c r="K38" s="1210"/>
      <c r="L38" s="131"/>
      <c r="M38" s="131"/>
      <c r="N38" s="1286"/>
      <c r="O38" s="1287"/>
    </row>
    <row r="39" spans="1:15" x14ac:dyDescent="0.2">
      <c r="A39" s="1288"/>
      <c r="B39" s="165" t="s">
        <v>48</v>
      </c>
      <c r="C39" s="138" t="s">
        <v>49</v>
      </c>
      <c r="D39" s="138" t="s">
        <v>574</v>
      </c>
      <c r="E39" s="138"/>
      <c r="F39" s="60"/>
      <c r="G39" s="60"/>
      <c r="I39" s="60"/>
      <c r="J39" s="138" t="s">
        <v>50</v>
      </c>
      <c r="K39" s="1289">
        <v>1600</v>
      </c>
      <c r="O39" s="1290"/>
    </row>
    <row r="40" spans="1:15" x14ac:dyDescent="0.2">
      <c r="A40" s="1291"/>
      <c r="B40" s="165" t="s">
        <v>36</v>
      </c>
      <c r="C40" s="138" t="s">
        <v>49</v>
      </c>
      <c r="D40" s="1292"/>
      <c r="E40" s="1292"/>
      <c r="F40" s="1293"/>
      <c r="G40" s="60"/>
      <c r="I40" s="60"/>
      <c r="J40" s="138" t="s">
        <v>50</v>
      </c>
      <c r="K40" s="1294"/>
      <c r="O40" s="1295"/>
    </row>
    <row r="41" spans="1:15" x14ac:dyDescent="0.2">
      <c r="A41" s="1296"/>
      <c r="B41" s="165" t="s">
        <v>38</v>
      </c>
      <c r="C41" s="138" t="s">
        <v>49</v>
      </c>
      <c r="D41" s="138"/>
      <c r="E41" s="138"/>
      <c r="F41" s="60"/>
      <c r="G41" s="60"/>
      <c r="I41" s="60"/>
      <c r="J41" s="138" t="s">
        <v>50</v>
      </c>
      <c r="K41" s="1289"/>
      <c r="O41" s="1290"/>
    </row>
    <row r="42" spans="1:15" ht="30" x14ac:dyDescent="0.2">
      <c r="A42" s="670" t="s">
        <v>553</v>
      </c>
      <c r="B42" s="671" t="s">
        <v>4</v>
      </c>
      <c r="C42" s="672" t="s">
        <v>40</v>
      </c>
      <c r="D42" s="672" t="s">
        <v>42</v>
      </c>
      <c r="E42" s="672" t="s">
        <v>51</v>
      </c>
      <c r="F42" s="1934" t="s">
        <v>575</v>
      </c>
      <c r="G42" s="1925"/>
      <c r="H42" s="1935" t="s">
        <v>576</v>
      </c>
      <c r="I42" s="1936"/>
      <c r="J42" s="1937"/>
      <c r="K42" s="672" t="s">
        <v>577</v>
      </c>
      <c r="L42" s="672" t="s">
        <v>578</v>
      </c>
      <c r="M42" s="672" t="s">
        <v>52</v>
      </c>
      <c r="N42" s="1297" t="s">
        <v>579</v>
      </c>
      <c r="O42" s="666" t="s">
        <v>43</v>
      </c>
    </row>
    <row r="43" spans="1:15" x14ac:dyDescent="0.2">
      <c r="A43" s="1298"/>
      <c r="B43" s="1299"/>
      <c r="C43" s="1300"/>
      <c r="D43" s="1300"/>
      <c r="E43" s="1300"/>
      <c r="F43" s="1301"/>
      <c r="G43" s="1303"/>
      <c r="H43" s="1301"/>
      <c r="I43" s="1302"/>
      <c r="J43" s="1303"/>
      <c r="K43" s="1542"/>
      <c r="L43" s="1542"/>
      <c r="M43" s="1305"/>
      <c r="N43" s="1304"/>
      <c r="O43" s="1306">
        <f>K43+L43+M43*N43</f>
        <v>0</v>
      </c>
    </row>
    <row r="44" spans="1:15" x14ac:dyDescent="0.2">
      <c r="A44" s="1307"/>
      <c r="B44" s="1308"/>
      <c r="C44" s="1309"/>
      <c r="D44" s="1309"/>
      <c r="E44" s="1309"/>
      <c r="F44" s="1310"/>
      <c r="G44" s="1312"/>
      <c r="H44" s="1310"/>
      <c r="I44" s="1311"/>
      <c r="J44" s="1312"/>
      <c r="K44" s="1543"/>
      <c r="L44" s="1543"/>
      <c r="M44" s="1314"/>
      <c r="N44" s="1313"/>
      <c r="O44" s="1306">
        <f t="shared" ref="O44:O52" si="3">K44+L44+M44*N44</f>
        <v>0</v>
      </c>
    </row>
    <row r="45" spans="1:15" x14ac:dyDescent="0.2">
      <c r="A45" s="1307"/>
      <c r="B45" s="1308"/>
      <c r="C45" s="1309"/>
      <c r="D45" s="1309"/>
      <c r="E45" s="1309"/>
      <c r="F45" s="1310"/>
      <c r="G45" s="1312"/>
      <c r="H45" s="1310"/>
      <c r="I45" s="1311"/>
      <c r="J45" s="1312"/>
      <c r="K45" s="1543"/>
      <c r="L45" s="1543"/>
      <c r="M45" s="1314"/>
      <c r="N45" s="1313"/>
      <c r="O45" s="1306">
        <f t="shared" si="3"/>
        <v>0</v>
      </c>
    </row>
    <row r="46" spans="1:15" x14ac:dyDescent="0.2">
      <c r="A46" s="1307"/>
      <c r="B46" s="1308"/>
      <c r="C46" s="1309"/>
      <c r="D46" s="1309"/>
      <c r="E46" s="1309"/>
      <c r="F46" s="1310"/>
      <c r="G46" s="1312"/>
      <c r="H46" s="1310"/>
      <c r="I46" s="1311"/>
      <c r="J46" s="1312"/>
      <c r="K46" s="1543"/>
      <c r="L46" s="1543"/>
      <c r="M46" s="1314"/>
      <c r="N46" s="1313"/>
      <c r="O46" s="1306">
        <f t="shared" si="3"/>
        <v>0</v>
      </c>
    </row>
    <row r="47" spans="1:15" x14ac:dyDescent="0.2">
      <c r="A47" s="1307"/>
      <c r="B47" s="1308"/>
      <c r="C47" s="1309"/>
      <c r="D47" s="1309"/>
      <c r="E47" s="1309"/>
      <c r="F47" s="1310"/>
      <c r="G47" s="1312"/>
      <c r="H47" s="1310"/>
      <c r="I47" s="1311"/>
      <c r="J47" s="1312"/>
      <c r="K47" s="1543"/>
      <c r="L47" s="1543"/>
      <c r="M47" s="1314"/>
      <c r="N47" s="1313"/>
      <c r="O47" s="1306">
        <f t="shared" si="3"/>
        <v>0</v>
      </c>
    </row>
    <row r="48" spans="1:15" x14ac:dyDescent="0.2">
      <c r="A48" s="1307"/>
      <c r="B48" s="1308"/>
      <c r="C48" s="1309"/>
      <c r="D48" s="1309"/>
      <c r="E48" s="1309"/>
      <c r="F48" s="1310"/>
      <c r="G48" s="1312"/>
      <c r="H48" s="1310"/>
      <c r="I48" s="1311"/>
      <c r="J48" s="1312"/>
      <c r="K48" s="1543"/>
      <c r="L48" s="1543"/>
      <c r="M48" s="1314"/>
      <c r="N48" s="1313"/>
      <c r="O48" s="1306">
        <f t="shared" si="3"/>
        <v>0</v>
      </c>
    </row>
    <row r="49" spans="1:15" x14ac:dyDescent="0.2">
      <c r="A49" s="1307"/>
      <c r="B49" s="1308"/>
      <c r="C49" s="1309"/>
      <c r="D49" s="1309"/>
      <c r="E49" s="1309"/>
      <c r="F49" s="1310"/>
      <c r="G49" s="1312"/>
      <c r="H49" s="1310"/>
      <c r="I49" s="1311"/>
      <c r="J49" s="1312"/>
      <c r="K49" s="1543"/>
      <c r="L49" s="1543"/>
      <c r="M49" s="1314"/>
      <c r="N49" s="1313"/>
      <c r="O49" s="1306">
        <f t="shared" si="3"/>
        <v>0</v>
      </c>
    </row>
    <row r="50" spans="1:15" x14ac:dyDescent="0.2">
      <c r="A50" s="1307"/>
      <c r="B50" s="1308"/>
      <c r="C50" s="1309"/>
      <c r="D50" s="1309"/>
      <c r="E50" s="1309"/>
      <c r="F50" s="1310"/>
      <c r="G50" s="1312"/>
      <c r="H50" s="1310"/>
      <c r="I50" s="1311"/>
      <c r="J50" s="1312"/>
      <c r="K50" s="1543"/>
      <c r="L50" s="1543"/>
      <c r="M50" s="1314"/>
      <c r="N50" s="1313"/>
      <c r="O50" s="1306">
        <f t="shared" si="3"/>
        <v>0</v>
      </c>
    </row>
    <row r="51" spans="1:15" x14ac:dyDescent="0.2">
      <c r="A51" s="1307"/>
      <c r="B51" s="1308"/>
      <c r="C51" s="1309"/>
      <c r="D51" s="1309"/>
      <c r="E51" s="1309"/>
      <c r="F51" s="1310"/>
      <c r="G51" s="1312"/>
      <c r="H51" s="1310"/>
      <c r="I51" s="1311"/>
      <c r="J51" s="1312"/>
      <c r="K51" s="1543"/>
      <c r="L51" s="1543"/>
      <c r="M51" s="1314"/>
      <c r="N51" s="1313"/>
      <c r="O51" s="1306">
        <f t="shared" si="3"/>
        <v>0</v>
      </c>
    </row>
    <row r="52" spans="1:15" x14ac:dyDescent="0.2">
      <c r="A52" s="1315"/>
      <c r="B52" s="1316"/>
      <c r="C52" s="1317"/>
      <c r="D52" s="1317"/>
      <c r="E52" s="1317"/>
      <c r="F52" s="1318"/>
      <c r="G52" s="1320"/>
      <c r="H52" s="1318"/>
      <c r="I52" s="1319"/>
      <c r="J52" s="1320"/>
      <c r="K52" s="1544"/>
      <c r="L52" s="1544"/>
      <c r="M52" s="1322"/>
      <c r="N52" s="1321"/>
      <c r="O52" s="1306">
        <f t="shared" si="3"/>
        <v>0</v>
      </c>
    </row>
    <row r="53" spans="1:15" x14ac:dyDescent="0.2">
      <c r="A53" s="1191"/>
      <c r="B53" s="1192"/>
      <c r="C53" s="1192"/>
      <c r="D53" s="1192"/>
      <c r="E53" s="1192"/>
      <c r="F53" s="1192"/>
      <c r="G53" s="1192"/>
      <c r="L53" s="1192"/>
      <c r="M53" s="1192"/>
      <c r="N53" s="1197" t="s">
        <v>580</v>
      </c>
      <c r="O53" s="1323">
        <f>SUM(O43:O52)</f>
        <v>0</v>
      </c>
    </row>
    <row r="54" spans="1:15" ht="15.75" thickBot="1" x14ac:dyDescent="0.25">
      <c r="A54" s="164"/>
      <c r="B54" s="165"/>
      <c r="C54" s="165"/>
      <c r="D54" s="165"/>
      <c r="E54" s="165"/>
      <c r="F54" s="165"/>
      <c r="G54" s="165"/>
      <c r="L54" s="165"/>
      <c r="M54" s="165"/>
      <c r="N54" s="165" t="s">
        <v>544</v>
      </c>
      <c r="O54" s="1324"/>
    </row>
    <row r="55" spans="1:15" ht="16.5" thickTop="1" thickBot="1" x14ac:dyDescent="0.25">
      <c r="A55" s="174"/>
      <c r="B55" s="172"/>
      <c r="C55" s="172"/>
      <c r="D55" s="172"/>
      <c r="E55" s="172"/>
      <c r="F55" s="172"/>
      <c r="G55" s="172"/>
      <c r="H55" s="172"/>
      <c r="I55" s="172"/>
      <c r="J55" s="172"/>
      <c r="K55" s="1325"/>
      <c r="L55" s="1216"/>
      <c r="M55" s="1216"/>
      <c r="N55" s="1216"/>
      <c r="O55" s="1217"/>
    </row>
    <row r="56" spans="1:15" ht="15.75" thickTop="1" x14ac:dyDescent="0.2">
      <c r="A56" s="1326" t="s">
        <v>581</v>
      </c>
      <c r="B56" s="1327"/>
      <c r="C56" s="60"/>
      <c r="D56" s="60"/>
      <c r="E56" s="60"/>
      <c r="F56" s="60"/>
      <c r="G56" s="60"/>
      <c r="H56" s="60"/>
      <c r="I56" s="60"/>
      <c r="J56" s="60"/>
      <c r="K56" s="1328"/>
    </row>
    <row r="57" spans="1:15" ht="30" x14ac:dyDescent="0.2">
      <c r="A57" s="670" t="s">
        <v>553</v>
      </c>
      <c r="B57" s="671" t="s">
        <v>4</v>
      </c>
      <c r="C57" s="1922" t="s">
        <v>40</v>
      </c>
      <c r="D57" s="1923"/>
      <c r="E57" s="1922" t="s">
        <v>25</v>
      </c>
      <c r="F57" s="1923"/>
      <c r="G57" s="1934" t="s">
        <v>582</v>
      </c>
      <c r="H57" s="1938"/>
      <c r="I57" s="1934" t="s">
        <v>54</v>
      </c>
      <c r="J57" s="1938"/>
      <c r="K57" s="1329" t="s">
        <v>10</v>
      </c>
      <c r="L57" s="1329"/>
      <c r="M57" s="672" t="s">
        <v>53</v>
      </c>
      <c r="N57" s="672" t="s">
        <v>583</v>
      </c>
      <c r="O57" s="666" t="s">
        <v>43</v>
      </c>
    </row>
    <row r="58" spans="1:15" x14ac:dyDescent="0.2">
      <c r="A58" s="1298"/>
      <c r="B58" s="1299"/>
      <c r="C58" s="147"/>
      <c r="D58" s="148"/>
      <c r="E58" s="147"/>
      <c r="F58" s="148"/>
      <c r="G58" s="147"/>
      <c r="H58" s="148"/>
      <c r="I58" s="147"/>
      <c r="J58" s="148"/>
      <c r="K58" s="147"/>
      <c r="L58" s="148"/>
      <c r="M58" s="1330"/>
      <c r="N58" s="1331"/>
      <c r="O58" s="1332"/>
    </row>
    <row r="59" spans="1:15" x14ac:dyDescent="0.2">
      <c r="A59" s="149"/>
      <c r="B59" s="152"/>
      <c r="C59" s="151"/>
      <c r="D59" s="152"/>
      <c r="E59" s="151"/>
      <c r="F59" s="152"/>
      <c r="G59" s="151"/>
      <c r="H59" s="152"/>
      <c r="I59" s="151"/>
      <c r="J59" s="152"/>
      <c r="K59" s="151"/>
      <c r="L59" s="152"/>
      <c r="M59" s="1333"/>
      <c r="N59" s="150"/>
      <c r="O59" s="180"/>
    </row>
    <row r="60" spans="1:15" x14ac:dyDescent="0.2">
      <c r="A60" s="149"/>
      <c r="B60" s="152"/>
      <c r="C60" s="151"/>
      <c r="D60" s="152"/>
      <c r="E60" s="151"/>
      <c r="F60" s="152"/>
      <c r="G60" s="151"/>
      <c r="H60" s="152"/>
      <c r="I60" s="151"/>
      <c r="J60" s="152"/>
      <c r="K60" s="151"/>
      <c r="L60" s="152"/>
      <c r="M60" s="1334"/>
      <c r="N60" s="150"/>
      <c r="O60" s="180"/>
    </row>
    <row r="61" spans="1:15" x14ac:dyDescent="0.2">
      <c r="A61" s="149"/>
      <c r="B61" s="152"/>
      <c r="C61" s="151"/>
      <c r="D61" s="152"/>
      <c r="E61" s="151"/>
      <c r="F61" s="152"/>
      <c r="G61" s="151"/>
      <c r="H61" s="152"/>
      <c r="I61" s="151"/>
      <c r="J61" s="152"/>
      <c r="K61" s="151"/>
      <c r="L61" s="152"/>
      <c r="M61" s="1334"/>
      <c r="N61" s="150"/>
      <c r="O61" s="180"/>
    </row>
    <row r="62" spans="1:15" x14ac:dyDescent="0.2">
      <c r="A62" s="149"/>
      <c r="B62" s="152"/>
      <c r="C62" s="151"/>
      <c r="D62" s="152"/>
      <c r="E62" s="151"/>
      <c r="F62" s="152"/>
      <c r="G62" s="151"/>
      <c r="H62" s="152"/>
      <c r="I62" s="151"/>
      <c r="J62" s="152"/>
      <c r="K62" s="151"/>
      <c r="L62" s="152"/>
      <c r="M62" s="1334"/>
      <c r="N62" s="150"/>
      <c r="O62" s="180"/>
    </row>
    <row r="63" spans="1:15" x14ac:dyDescent="0.2">
      <c r="A63" s="149"/>
      <c r="B63" s="152"/>
      <c r="C63" s="151"/>
      <c r="D63" s="152"/>
      <c r="E63" s="151"/>
      <c r="F63" s="152"/>
      <c r="G63" s="151"/>
      <c r="H63" s="152"/>
      <c r="I63" s="151"/>
      <c r="J63" s="152"/>
      <c r="K63" s="151"/>
      <c r="L63" s="152"/>
      <c r="M63" s="1334"/>
      <c r="N63" s="150"/>
      <c r="O63" s="180"/>
    </row>
    <row r="64" spans="1:15" x14ac:dyDescent="0.2">
      <c r="A64" s="149"/>
      <c r="B64" s="152"/>
      <c r="C64" s="151"/>
      <c r="D64" s="152"/>
      <c r="E64" s="151"/>
      <c r="F64" s="152"/>
      <c r="G64" s="151"/>
      <c r="H64" s="152"/>
      <c r="I64" s="151"/>
      <c r="J64" s="152"/>
      <c r="K64" s="151"/>
      <c r="L64" s="152"/>
      <c r="M64" s="1334"/>
      <c r="N64" s="150"/>
      <c r="O64" s="180"/>
    </row>
    <row r="65" spans="1:15" x14ac:dyDescent="0.2">
      <c r="A65" s="149"/>
      <c r="B65" s="152"/>
      <c r="C65" s="151"/>
      <c r="D65" s="152"/>
      <c r="E65" s="151"/>
      <c r="F65" s="152"/>
      <c r="G65" s="151"/>
      <c r="H65" s="152"/>
      <c r="I65" s="151"/>
      <c r="J65" s="152"/>
      <c r="K65" s="151"/>
      <c r="L65" s="152"/>
      <c r="M65" s="1334"/>
      <c r="N65" s="150"/>
      <c r="O65" s="180"/>
    </row>
    <row r="66" spans="1:15" x14ac:dyDescent="0.2">
      <c r="A66" s="149"/>
      <c r="B66" s="152"/>
      <c r="C66" s="151"/>
      <c r="D66" s="152"/>
      <c r="E66" s="151"/>
      <c r="F66" s="152"/>
      <c r="G66" s="151"/>
      <c r="H66" s="152"/>
      <c r="I66" s="151"/>
      <c r="J66" s="152"/>
      <c r="K66" s="151"/>
      <c r="L66" s="152"/>
      <c r="M66" s="1334"/>
      <c r="N66" s="150"/>
      <c r="O66" s="180"/>
    </row>
    <row r="67" spans="1:15" ht="15.75" thickBot="1" x14ac:dyDescent="0.25">
      <c r="A67" s="153"/>
      <c r="B67" s="156"/>
      <c r="C67" s="155"/>
      <c r="D67" s="156"/>
      <c r="E67" s="155"/>
      <c r="F67" s="156"/>
      <c r="G67" s="155"/>
      <c r="H67" s="156"/>
      <c r="I67" s="155"/>
      <c r="J67" s="156"/>
      <c r="K67" s="155"/>
      <c r="L67" s="156"/>
      <c r="M67" s="1335"/>
      <c r="N67" s="154"/>
      <c r="O67" s="1336"/>
    </row>
    <row r="68" spans="1:15" x14ac:dyDescent="0.2">
      <c r="A68" s="1191"/>
      <c r="B68" s="1192"/>
      <c r="C68" s="1192"/>
      <c r="D68" s="1192"/>
      <c r="E68" s="1192"/>
      <c r="F68" s="1192"/>
      <c r="G68" s="1192"/>
      <c r="H68" s="1192"/>
      <c r="M68" s="1192"/>
      <c r="N68" s="1197" t="s">
        <v>584</v>
      </c>
      <c r="O68" s="1323">
        <f>SUM(O58:O67)</f>
        <v>0</v>
      </c>
    </row>
    <row r="69" spans="1:15" ht="15.75" thickBot="1" x14ac:dyDescent="0.25">
      <c r="A69" s="164"/>
      <c r="B69" s="165"/>
      <c r="C69" s="165"/>
      <c r="D69" s="165"/>
      <c r="E69" s="165"/>
      <c r="F69" s="165"/>
      <c r="G69" s="165"/>
      <c r="H69" s="165"/>
      <c r="M69" s="165"/>
      <c r="N69" s="165" t="s">
        <v>544</v>
      </c>
      <c r="O69" s="1241"/>
    </row>
    <row r="70" spans="1:15" ht="15.75" thickBot="1" x14ac:dyDescent="0.25">
      <c r="A70" s="176"/>
      <c r="B70" s="133"/>
      <c r="C70" s="133"/>
      <c r="D70" s="133"/>
      <c r="E70" s="133"/>
      <c r="F70" s="133"/>
      <c r="G70" s="133"/>
      <c r="H70" s="1216"/>
      <c r="I70" s="1216"/>
      <c r="J70" s="1216"/>
      <c r="K70" s="1216"/>
      <c r="L70" s="133"/>
      <c r="M70" s="133"/>
      <c r="N70" s="133"/>
      <c r="O70" s="1337"/>
    </row>
    <row r="71" spans="1:15" ht="15.75" thickTop="1" x14ac:dyDescent="0.2">
      <c r="A71" s="1326" t="s">
        <v>585</v>
      </c>
      <c r="B71" s="1327"/>
      <c r="C71" s="60"/>
      <c r="D71" s="60"/>
      <c r="E71" s="60"/>
      <c r="F71" s="60"/>
      <c r="G71" s="60"/>
      <c r="H71" s="1338"/>
      <c r="I71" s="1338"/>
      <c r="J71" s="1338"/>
      <c r="K71" s="1338"/>
      <c r="L71" s="60"/>
      <c r="M71" s="60"/>
      <c r="N71" s="60"/>
      <c r="O71" s="1290"/>
    </row>
    <row r="72" spans="1:15" ht="30" x14ac:dyDescent="0.2">
      <c r="A72" s="670" t="s">
        <v>553</v>
      </c>
      <c r="B72" s="671" t="s">
        <v>4</v>
      </c>
      <c r="C72" s="653" t="s">
        <v>40</v>
      </c>
      <c r="D72" s="673" t="s">
        <v>25</v>
      </c>
      <c r="E72" s="1339" t="s">
        <v>45</v>
      </c>
      <c r="F72" s="1339" t="s">
        <v>46</v>
      </c>
      <c r="G72" s="1922" t="s">
        <v>586</v>
      </c>
      <c r="H72" s="1942"/>
      <c r="I72" s="1943" t="s">
        <v>587</v>
      </c>
      <c r="J72" s="1944"/>
      <c r="K72" s="1340" t="s">
        <v>588</v>
      </c>
      <c r="L72" s="1945" t="s">
        <v>55</v>
      </c>
      <c r="M72" s="1945"/>
      <c r="N72" s="672" t="s">
        <v>56</v>
      </c>
      <c r="O72" s="666" t="s">
        <v>43</v>
      </c>
    </row>
    <row r="73" spans="1:15" x14ac:dyDescent="0.2">
      <c r="A73" s="178"/>
      <c r="B73" s="1341"/>
      <c r="C73" s="151"/>
      <c r="D73" s="151"/>
      <c r="E73" s="150"/>
      <c r="F73" s="150"/>
      <c r="G73" s="826"/>
      <c r="H73" s="827"/>
      <c r="I73" s="826"/>
      <c r="J73" s="827"/>
      <c r="K73" s="150"/>
      <c r="L73" s="826"/>
      <c r="M73" s="827"/>
      <c r="N73" s="150"/>
      <c r="O73" s="180"/>
    </row>
    <row r="74" spans="1:15" x14ac:dyDescent="0.2">
      <c r="A74" s="1342"/>
      <c r="B74" s="1341"/>
      <c r="C74" s="151"/>
      <c r="D74" s="151"/>
      <c r="E74" s="150"/>
      <c r="F74" s="150"/>
      <c r="G74" s="151"/>
      <c r="H74" s="152"/>
      <c r="I74" s="151"/>
      <c r="J74" s="152"/>
      <c r="K74" s="150"/>
      <c r="L74" s="151"/>
      <c r="M74" s="152"/>
      <c r="N74" s="150"/>
      <c r="O74" s="180"/>
    </row>
    <row r="75" spans="1:15" x14ac:dyDescent="0.2">
      <c r="A75" s="1342"/>
      <c r="B75" s="1341"/>
      <c r="C75" s="151"/>
      <c r="D75" s="151"/>
      <c r="E75" s="150"/>
      <c r="F75" s="150"/>
      <c r="G75" s="151"/>
      <c r="H75" s="152"/>
      <c r="I75" s="151"/>
      <c r="J75" s="152"/>
      <c r="K75" s="150"/>
      <c r="L75" s="151"/>
      <c r="M75" s="152"/>
      <c r="N75" s="150"/>
      <c r="O75" s="180"/>
    </row>
    <row r="76" spans="1:15" x14ac:dyDescent="0.2">
      <c r="A76" s="1342"/>
      <c r="B76" s="1341"/>
      <c r="C76" s="151"/>
      <c r="D76" s="151"/>
      <c r="E76" s="150"/>
      <c r="F76" s="150"/>
      <c r="G76" s="151"/>
      <c r="H76" s="152"/>
      <c r="I76" s="151"/>
      <c r="J76" s="152"/>
      <c r="K76" s="150"/>
      <c r="L76" s="151"/>
      <c r="M76" s="152"/>
      <c r="N76" s="150"/>
      <c r="O76" s="180"/>
    </row>
    <row r="77" spans="1:15" x14ac:dyDescent="0.2">
      <c r="A77" s="1342"/>
      <c r="B77" s="1341"/>
      <c r="C77" s="151"/>
      <c r="D77" s="151"/>
      <c r="E77" s="150"/>
      <c r="F77" s="150"/>
      <c r="G77" s="151"/>
      <c r="H77" s="152"/>
      <c r="I77" s="151"/>
      <c r="J77" s="152"/>
      <c r="K77" s="150"/>
      <c r="L77" s="151"/>
      <c r="M77" s="152"/>
      <c r="N77" s="150"/>
      <c r="O77" s="180"/>
    </row>
    <row r="78" spans="1:15" x14ac:dyDescent="0.2">
      <c r="A78" s="1343"/>
      <c r="B78" s="1344"/>
      <c r="C78" s="151"/>
      <c r="D78" s="151"/>
      <c r="E78" s="150"/>
      <c r="F78" s="150"/>
      <c r="G78" s="151"/>
      <c r="H78" s="152"/>
      <c r="I78" s="151"/>
      <c r="J78" s="152"/>
      <c r="K78" s="150"/>
      <c r="L78" s="151"/>
      <c r="M78" s="152"/>
      <c r="N78" s="150"/>
      <c r="O78" s="180"/>
    </row>
    <row r="79" spans="1:15" x14ac:dyDescent="0.2">
      <c r="A79" s="149"/>
      <c r="B79" s="162"/>
      <c r="C79" s="151"/>
      <c r="D79" s="151"/>
      <c r="E79" s="150"/>
      <c r="F79" s="150"/>
      <c r="G79" s="151"/>
      <c r="H79" s="152"/>
      <c r="I79" s="151"/>
      <c r="J79" s="152"/>
      <c r="K79" s="150"/>
      <c r="L79" s="151"/>
      <c r="M79" s="152"/>
      <c r="N79" s="150"/>
      <c r="O79" s="180"/>
    </row>
    <row r="80" spans="1:15" x14ac:dyDescent="0.2">
      <c r="A80" s="149"/>
      <c r="B80" s="162"/>
      <c r="C80" s="151"/>
      <c r="D80" s="151"/>
      <c r="E80" s="150"/>
      <c r="F80" s="150"/>
      <c r="G80" s="151"/>
      <c r="H80" s="152"/>
      <c r="I80" s="151"/>
      <c r="J80" s="152"/>
      <c r="K80" s="150"/>
      <c r="L80" s="151"/>
      <c r="M80" s="152"/>
      <c r="N80" s="150"/>
      <c r="O80" s="180"/>
    </row>
    <row r="81" spans="1:15" x14ac:dyDescent="0.2">
      <c r="A81" s="149"/>
      <c r="B81" s="162"/>
      <c r="C81" s="151"/>
      <c r="D81" s="151"/>
      <c r="E81" s="150"/>
      <c r="F81" s="150"/>
      <c r="G81" s="151"/>
      <c r="H81" s="152"/>
      <c r="I81" s="151"/>
      <c r="J81" s="152"/>
      <c r="K81" s="150"/>
      <c r="L81" s="151"/>
      <c r="M81" s="152"/>
      <c r="N81" s="150"/>
      <c r="O81" s="180"/>
    </row>
    <row r="82" spans="1:15" ht="15.75" thickBot="1" x14ac:dyDescent="0.25">
      <c r="A82" s="153"/>
      <c r="B82" s="163"/>
      <c r="C82" s="155"/>
      <c r="D82" s="155"/>
      <c r="E82" s="154"/>
      <c r="F82" s="154"/>
      <c r="G82" s="155"/>
      <c r="H82" s="156"/>
      <c r="I82" s="155"/>
      <c r="J82" s="156"/>
      <c r="K82" s="154"/>
      <c r="L82" s="155"/>
      <c r="M82" s="156"/>
      <c r="N82" s="154"/>
      <c r="O82" s="1336"/>
    </row>
    <row r="83" spans="1:15" x14ac:dyDescent="0.2">
      <c r="A83" s="1191"/>
      <c r="B83" s="1192"/>
      <c r="C83" s="1192"/>
      <c r="D83" s="1192"/>
      <c r="E83" s="1192"/>
      <c r="F83" s="1192"/>
      <c r="G83" s="1192"/>
      <c r="L83" s="1192"/>
      <c r="M83" s="1192"/>
      <c r="N83" s="1197" t="s">
        <v>589</v>
      </c>
      <c r="O83" s="1323">
        <f>SUM(O73:O82)</f>
        <v>0</v>
      </c>
    </row>
    <row r="84" spans="1:15" ht="15.75" thickBot="1" x14ac:dyDescent="0.25">
      <c r="A84" s="164"/>
      <c r="B84" s="165"/>
      <c r="C84" s="165"/>
      <c r="D84" s="165"/>
      <c r="E84" s="165"/>
      <c r="F84" s="165"/>
      <c r="G84" s="165"/>
      <c r="L84" s="165"/>
      <c r="M84" s="165"/>
      <c r="N84" s="165" t="s">
        <v>544</v>
      </c>
      <c r="O84" s="1241"/>
    </row>
    <row r="85" spans="1:15" ht="15.75" thickBot="1" x14ac:dyDescent="0.25">
      <c r="A85" s="164"/>
      <c r="B85" s="165"/>
      <c r="C85" s="165"/>
      <c r="D85" s="165"/>
      <c r="E85" s="165"/>
      <c r="F85" s="165"/>
      <c r="G85" s="165"/>
      <c r="H85" s="1216"/>
      <c r="I85" s="1216"/>
      <c r="J85" s="1216"/>
      <c r="K85" s="1216"/>
      <c r="L85" s="165"/>
      <c r="M85" s="165"/>
      <c r="N85" s="1345"/>
      <c r="O85" s="1545"/>
    </row>
    <row r="86" spans="1:15" ht="15.75" thickTop="1" x14ac:dyDescent="0.2">
      <c r="A86" s="1240"/>
      <c r="B86" s="173"/>
      <c r="C86" s="173"/>
      <c r="D86" s="173"/>
      <c r="E86" s="173"/>
      <c r="F86" s="173"/>
      <c r="G86" s="173"/>
      <c r="L86" s="173"/>
      <c r="M86" s="173"/>
      <c r="N86" s="173" t="s">
        <v>590</v>
      </c>
      <c r="O86" s="1346">
        <f>O35+O53+O68+O83</f>
        <v>0</v>
      </c>
    </row>
    <row r="87" spans="1:15" ht="15.75" thickBot="1" x14ac:dyDescent="0.25">
      <c r="A87" s="164"/>
      <c r="B87" s="165"/>
      <c r="C87" s="165"/>
      <c r="D87" s="165"/>
      <c r="E87" s="165"/>
      <c r="F87" s="165"/>
      <c r="G87" s="165"/>
      <c r="L87" s="165"/>
      <c r="M87" s="165"/>
      <c r="N87" s="165" t="s">
        <v>544</v>
      </c>
      <c r="O87" s="1347">
        <f>O36+O53+O69+O84</f>
        <v>0</v>
      </c>
    </row>
    <row r="88" spans="1:15" ht="15.75" thickBot="1" x14ac:dyDescent="0.25">
      <c r="A88" s="1348"/>
      <c r="B88" s="1216"/>
      <c r="C88" s="1216"/>
      <c r="D88" s="1216"/>
      <c r="E88" s="1216"/>
      <c r="F88" s="1216"/>
      <c r="G88" s="1216"/>
      <c r="H88" s="1216"/>
      <c r="I88" s="1216"/>
      <c r="J88" s="1216"/>
      <c r="K88" s="1216"/>
      <c r="L88" s="1216"/>
      <c r="M88" s="1216"/>
      <c r="N88" s="1349" t="s">
        <v>572</v>
      </c>
      <c r="O88" s="1546">
        <f>O86-O87</f>
        <v>0</v>
      </c>
    </row>
    <row r="89" spans="1:15" ht="15.75" thickTop="1" x14ac:dyDescent="0.2"/>
    <row r="90" spans="1:15" x14ac:dyDescent="0.2">
      <c r="B90" s="836" t="s">
        <v>451</v>
      </c>
      <c r="G90" s="1350"/>
      <c r="H90" s="1350"/>
    </row>
    <row r="91" spans="1:15" x14ac:dyDescent="0.2">
      <c r="B91" s="836" t="s">
        <v>453</v>
      </c>
    </row>
    <row r="92" spans="1:15" x14ac:dyDescent="0.2">
      <c r="A92" s="613"/>
      <c r="B92" s="836" t="s">
        <v>455</v>
      </c>
      <c r="C92" s="613"/>
      <c r="D92" s="613"/>
      <c r="E92" s="613"/>
      <c r="F92" s="613"/>
      <c r="G92" s="613"/>
      <c r="H92" s="613"/>
      <c r="I92" s="613"/>
      <c r="J92" s="613"/>
      <c r="K92" s="613"/>
    </row>
  </sheetData>
  <mergeCells count="28">
    <mergeCell ref="G72:H72"/>
    <mergeCell ref="I72:J72"/>
    <mergeCell ref="L72:M72"/>
    <mergeCell ref="M21:M22"/>
    <mergeCell ref="N21:N22"/>
    <mergeCell ref="O21:O22"/>
    <mergeCell ref="F42:G42"/>
    <mergeCell ref="H42:J42"/>
    <mergeCell ref="C57:D57"/>
    <mergeCell ref="E57:F57"/>
    <mergeCell ref="G57:H57"/>
    <mergeCell ref="I57:J57"/>
    <mergeCell ref="L20:L22"/>
    <mergeCell ref="H21:H22"/>
    <mergeCell ref="I21:I22"/>
    <mergeCell ref="J21:J22"/>
    <mergeCell ref="K21:K22"/>
    <mergeCell ref="A21:A22"/>
    <mergeCell ref="D21:D22"/>
    <mergeCell ref="E21:E22"/>
    <mergeCell ref="F21:F22"/>
    <mergeCell ref="G21:G22"/>
    <mergeCell ref="A3:C3"/>
    <mergeCell ref="H3:I3"/>
    <mergeCell ref="D6:E6"/>
    <mergeCell ref="I6:K6"/>
    <mergeCell ref="B20:F20"/>
    <mergeCell ref="G20:K20"/>
  </mergeCells>
  <phoneticPr fontId="54" type="noConversion"/>
  <printOptions horizontalCentered="1"/>
  <pageMargins left="0.55118110236220474" right="0.55118110236220474" top="0.78740157480314965" bottom="0.78740157480314965" header="0.51181102362204722" footer="0.51181102362204722"/>
  <pageSetup paperSize="9" scale="68" orientation="landscape" r:id="rId1"/>
  <headerFooter alignWithMargins="0">
    <oddFooter>&amp;L&amp;8&amp;F Rev 1 of 310805&amp;C&amp;8&amp;A&amp;R&amp;8&amp;D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indexed="43"/>
  </sheetPr>
  <dimension ref="A1:N65"/>
  <sheetViews>
    <sheetView zoomScaleNormal="100" zoomScaleSheetLayoutView="75" workbookViewId="0">
      <selection activeCell="H7" sqref="H7"/>
    </sheetView>
  </sheetViews>
  <sheetFormatPr defaultRowHeight="15" x14ac:dyDescent="0.2"/>
  <cols>
    <col min="1" max="1" width="5.33203125" customWidth="1"/>
    <col min="2" max="2" width="9.5546875" customWidth="1"/>
    <col min="3" max="3" width="10.77734375" customWidth="1"/>
    <col min="8" max="8" width="10" customWidth="1"/>
    <col min="9" max="9" width="11.44140625" customWidth="1"/>
    <col min="10" max="10" width="14.88671875" customWidth="1"/>
  </cols>
  <sheetData>
    <row r="1" spans="1:10" ht="18.75" thickTop="1" x14ac:dyDescent="0.2">
      <c r="A1" s="1182" t="s">
        <v>57</v>
      </c>
      <c r="B1" s="1183"/>
      <c r="C1" s="1184"/>
      <c r="D1" s="1184"/>
      <c r="E1" s="1184"/>
      <c r="F1" s="1184"/>
      <c r="G1" s="1184"/>
      <c r="H1" s="1184"/>
      <c r="I1" s="1184"/>
      <c r="J1" s="1185"/>
    </row>
    <row r="2" spans="1:10" ht="24" customHeight="1" x14ac:dyDescent="0.2">
      <c r="A2" s="1205" t="s">
        <v>161</v>
      </c>
      <c r="B2" s="822"/>
      <c r="C2" s="130"/>
      <c r="D2" s="130"/>
      <c r="E2" s="60"/>
      <c r="G2" s="130"/>
      <c r="H2" s="1187" t="s">
        <v>162</v>
      </c>
      <c r="I2" s="130"/>
      <c r="J2" s="211"/>
    </row>
    <row r="3" spans="1:10" ht="15.75" x14ac:dyDescent="0.2">
      <c r="A3" s="830"/>
      <c r="B3" s="831" t="s">
        <v>542</v>
      </c>
      <c r="C3" s="1458">
        <f>'Input Data'!D29</f>
        <v>0</v>
      </c>
      <c r="D3" s="138"/>
      <c r="E3" s="1188" t="s">
        <v>214</v>
      </c>
      <c r="F3" s="824">
        <f>'Input Data'!D7</f>
        <v>0</v>
      </c>
      <c r="G3" s="60"/>
      <c r="H3" s="60"/>
      <c r="I3" s="60"/>
      <c r="J3" s="27"/>
    </row>
    <row r="4" spans="1:10" ht="15.75" thickBot="1" x14ac:dyDescent="0.25">
      <c r="A4" s="176"/>
      <c r="B4" s="133"/>
      <c r="C4" s="133"/>
      <c r="D4" s="133"/>
      <c r="E4" s="133"/>
      <c r="F4" s="133"/>
      <c r="G4" s="133"/>
      <c r="H4" s="133"/>
      <c r="I4" s="133"/>
      <c r="J4" s="136"/>
    </row>
    <row r="5" spans="1:10" ht="15.75" thickTop="1" x14ac:dyDescent="0.2">
      <c r="A5" s="212"/>
      <c r="B5" s="131"/>
      <c r="C5" s="131"/>
      <c r="D5" s="131"/>
      <c r="E5" s="131"/>
      <c r="F5" s="131"/>
      <c r="G5" s="131"/>
      <c r="H5" s="131"/>
      <c r="I5" s="131"/>
      <c r="J5" s="132"/>
    </row>
    <row r="6" spans="1:10" x14ac:dyDescent="0.2">
      <c r="A6" s="177" t="s">
        <v>14</v>
      </c>
      <c r="B6" s="1189"/>
      <c r="C6" s="159"/>
      <c r="D6" s="159"/>
      <c r="E6" s="159"/>
      <c r="F6" s="159"/>
      <c r="G6" s="159"/>
      <c r="H6" s="159"/>
      <c r="I6" s="159"/>
      <c r="J6" s="160"/>
    </row>
    <row r="7" spans="1:10" ht="30" x14ac:dyDescent="0.2">
      <c r="A7" s="1180" t="s">
        <v>541</v>
      </c>
      <c r="B7" s="672" t="s">
        <v>4</v>
      </c>
      <c r="C7" s="1203" t="s">
        <v>58</v>
      </c>
      <c r="D7" s="1203"/>
      <c r="E7" s="1203"/>
      <c r="F7" s="1203"/>
      <c r="G7" s="1204"/>
      <c r="H7" s="213" t="s">
        <v>17</v>
      </c>
      <c r="I7" s="213" t="s">
        <v>5</v>
      </c>
      <c r="J7" s="144" t="s">
        <v>43</v>
      </c>
    </row>
    <row r="8" spans="1:10" x14ac:dyDescent="0.2">
      <c r="A8" s="1190"/>
      <c r="B8" s="179"/>
      <c r="C8" s="829"/>
      <c r="D8" s="829"/>
      <c r="E8" s="829"/>
      <c r="F8" s="829"/>
      <c r="G8" s="827"/>
      <c r="H8" s="168"/>
      <c r="I8" s="1547"/>
      <c r="J8" s="1548">
        <f t="shared" ref="J8:J17" si="0">H8*I8</f>
        <v>0</v>
      </c>
    </row>
    <row r="9" spans="1:10" x14ac:dyDescent="0.2">
      <c r="A9" s="149"/>
      <c r="B9" s="150"/>
      <c r="C9" s="162"/>
      <c r="D9" s="162"/>
      <c r="E9" s="162"/>
      <c r="F9" s="162"/>
      <c r="G9" s="152"/>
      <c r="H9" s="150"/>
      <c r="I9" s="1543"/>
      <c r="J9" s="1231">
        <f t="shared" si="0"/>
        <v>0</v>
      </c>
    </row>
    <row r="10" spans="1:10" x14ac:dyDescent="0.2">
      <c r="A10" s="149"/>
      <c r="B10" s="150"/>
      <c r="C10" s="162"/>
      <c r="D10" s="162"/>
      <c r="E10" s="162"/>
      <c r="F10" s="162"/>
      <c r="G10" s="152"/>
      <c r="H10" s="150"/>
      <c r="I10" s="1543"/>
      <c r="J10" s="1231">
        <f t="shared" si="0"/>
        <v>0</v>
      </c>
    </row>
    <row r="11" spans="1:10" x14ac:dyDescent="0.2">
      <c r="A11" s="149"/>
      <c r="B11" s="150"/>
      <c r="C11" s="162"/>
      <c r="D11" s="162"/>
      <c r="E11" s="162"/>
      <c r="F11" s="162"/>
      <c r="G11" s="152"/>
      <c r="H11" s="150"/>
      <c r="I11" s="1543"/>
      <c r="J11" s="1231">
        <f t="shared" si="0"/>
        <v>0</v>
      </c>
    </row>
    <row r="12" spans="1:10" x14ac:dyDescent="0.2">
      <c r="A12" s="149"/>
      <c r="B12" s="150"/>
      <c r="C12" s="162"/>
      <c r="D12" s="162"/>
      <c r="E12" s="162"/>
      <c r="F12" s="162"/>
      <c r="G12" s="152"/>
      <c r="H12" s="150"/>
      <c r="I12" s="1543"/>
      <c r="J12" s="1231">
        <f t="shared" si="0"/>
        <v>0</v>
      </c>
    </row>
    <row r="13" spans="1:10" x14ac:dyDescent="0.2">
      <c r="A13" s="149"/>
      <c r="B13" s="150"/>
      <c r="C13" s="162"/>
      <c r="D13" s="162"/>
      <c r="E13" s="162"/>
      <c r="F13" s="162"/>
      <c r="G13" s="152"/>
      <c r="H13" s="150"/>
      <c r="I13" s="1543"/>
      <c r="J13" s="1231">
        <f t="shared" si="0"/>
        <v>0</v>
      </c>
    </row>
    <row r="14" spans="1:10" x14ac:dyDescent="0.2">
      <c r="A14" s="149"/>
      <c r="B14" s="150"/>
      <c r="C14" s="162"/>
      <c r="D14" s="162"/>
      <c r="E14" s="162"/>
      <c r="F14" s="162"/>
      <c r="G14" s="152"/>
      <c r="H14" s="150"/>
      <c r="I14" s="1543"/>
      <c r="J14" s="1231">
        <f t="shared" si="0"/>
        <v>0</v>
      </c>
    </row>
    <row r="15" spans="1:10" x14ac:dyDescent="0.2">
      <c r="A15" s="149"/>
      <c r="B15" s="150"/>
      <c r="C15" s="162"/>
      <c r="D15" s="162"/>
      <c r="E15" s="162"/>
      <c r="F15" s="162"/>
      <c r="G15" s="152"/>
      <c r="H15" s="150"/>
      <c r="I15" s="1543"/>
      <c r="J15" s="1231">
        <f t="shared" si="0"/>
        <v>0</v>
      </c>
    </row>
    <row r="16" spans="1:10" x14ac:dyDescent="0.2">
      <c r="A16" s="149"/>
      <c r="B16" s="150"/>
      <c r="C16" s="162"/>
      <c r="D16" s="162"/>
      <c r="E16" s="162"/>
      <c r="F16" s="162"/>
      <c r="G16" s="152"/>
      <c r="H16" s="150"/>
      <c r="I16" s="1543"/>
      <c r="J16" s="1231">
        <f t="shared" si="0"/>
        <v>0</v>
      </c>
    </row>
    <row r="17" spans="1:10" ht="15.75" thickBot="1" x14ac:dyDescent="0.25">
      <c r="A17" s="181"/>
      <c r="B17" s="182"/>
      <c r="C17" s="828"/>
      <c r="D17" s="828"/>
      <c r="E17" s="828"/>
      <c r="F17" s="828"/>
      <c r="G17" s="825"/>
      <c r="H17" s="154"/>
      <c r="I17" s="1544"/>
      <c r="J17" s="1234">
        <f t="shared" si="0"/>
        <v>0</v>
      </c>
    </row>
    <row r="18" spans="1:10" x14ac:dyDescent="0.2">
      <c r="A18" s="1191"/>
      <c r="B18" s="1192"/>
      <c r="C18" s="1192"/>
      <c r="D18" s="1192"/>
      <c r="E18" s="1192"/>
      <c r="F18" s="1192"/>
      <c r="G18" s="1192"/>
      <c r="H18" s="1192"/>
      <c r="I18" s="1549" t="s">
        <v>543</v>
      </c>
      <c r="J18" s="1199">
        <f>SUM(J8:J17)</f>
        <v>0</v>
      </c>
    </row>
    <row r="19" spans="1:10" x14ac:dyDescent="0.2">
      <c r="A19" s="164"/>
      <c r="B19" s="165"/>
      <c r="C19" s="165"/>
      <c r="D19" s="165"/>
      <c r="E19" s="165"/>
      <c r="F19" s="165"/>
      <c r="G19" s="165"/>
      <c r="H19" s="165"/>
      <c r="I19" s="1345" t="s">
        <v>544</v>
      </c>
      <c r="J19" s="1200"/>
    </row>
    <row r="20" spans="1:10" x14ac:dyDescent="0.2">
      <c r="A20" s="177" t="s">
        <v>15</v>
      </c>
      <c r="B20" s="1181"/>
      <c r="C20" s="141"/>
      <c r="D20" s="141"/>
      <c r="E20" s="141"/>
      <c r="F20" s="141"/>
      <c r="G20" s="141"/>
      <c r="H20" s="141"/>
      <c r="I20" s="669"/>
      <c r="J20" s="1194"/>
    </row>
    <row r="21" spans="1:10" ht="25.5" x14ac:dyDescent="0.2">
      <c r="A21" s="1180" t="s">
        <v>541</v>
      </c>
      <c r="B21" s="674" t="s">
        <v>4</v>
      </c>
      <c r="C21" s="1203" t="s">
        <v>16</v>
      </c>
      <c r="D21" s="1203"/>
      <c r="E21" s="1203"/>
      <c r="F21" s="1204"/>
      <c r="G21" s="213" t="s">
        <v>17</v>
      </c>
      <c r="H21" s="213" t="s">
        <v>59</v>
      </c>
      <c r="I21" s="213" t="s">
        <v>5</v>
      </c>
      <c r="J21" s="1195" t="s">
        <v>43</v>
      </c>
    </row>
    <row r="22" spans="1:10" ht="27" customHeight="1" x14ac:dyDescent="0.2">
      <c r="A22" s="1190"/>
      <c r="B22" s="179"/>
      <c r="C22" s="829"/>
      <c r="D22" s="829"/>
      <c r="E22" s="829"/>
      <c r="F22" s="827"/>
      <c r="G22" s="146"/>
      <c r="H22" s="146"/>
      <c r="I22" s="1542"/>
      <c r="J22" s="1228">
        <f t="shared" ref="J22:J31" si="1">G22*H22*I22</f>
        <v>0</v>
      </c>
    </row>
    <row r="23" spans="1:10" x14ac:dyDescent="0.2">
      <c r="A23" s="149"/>
      <c r="B23" s="150"/>
      <c r="C23" s="162"/>
      <c r="D23" s="162"/>
      <c r="E23" s="162"/>
      <c r="F23" s="152"/>
      <c r="G23" s="150"/>
      <c r="H23" s="150"/>
      <c r="I23" s="1543"/>
      <c r="J23" s="1231">
        <f t="shared" si="1"/>
        <v>0</v>
      </c>
    </row>
    <row r="24" spans="1:10" x14ac:dyDescent="0.2">
      <c r="A24" s="149"/>
      <c r="B24" s="150"/>
      <c r="C24" s="162"/>
      <c r="D24" s="162"/>
      <c r="E24" s="162"/>
      <c r="F24" s="152"/>
      <c r="G24" s="150"/>
      <c r="H24" s="150"/>
      <c r="I24" s="1543"/>
      <c r="J24" s="1231">
        <f t="shared" si="1"/>
        <v>0</v>
      </c>
    </row>
    <row r="25" spans="1:10" x14ac:dyDescent="0.2">
      <c r="A25" s="149"/>
      <c r="B25" s="150"/>
      <c r="C25" s="162"/>
      <c r="D25" s="162"/>
      <c r="E25" s="162"/>
      <c r="F25" s="152"/>
      <c r="G25" s="150"/>
      <c r="H25" s="150"/>
      <c r="I25" s="1543"/>
      <c r="J25" s="1231">
        <f t="shared" si="1"/>
        <v>0</v>
      </c>
    </row>
    <row r="26" spans="1:10" x14ac:dyDescent="0.2">
      <c r="A26" s="149"/>
      <c r="B26" s="150"/>
      <c r="C26" s="162"/>
      <c r="D26" s="162"/>
      <c r="E26" s="162"/>
      <c r="F26" s="152"/>
      <c r="G26" s="150"/>
      <c r="H26" s="150"/>
      <c r="I26" s="1543"/>
      <c r="J26" s="1231">
        <f t="shared" si="1"/>
        <v>0</v>
      </c>
    </row>
    <row r="27" spans="1:10" x14ac:dyDescent="0.2">
      <c r="A27" s="149"/>
      <c r="B27" s="150"/>
      <c r="C27" s="162"/>
      <c r="D27" s="162"/>
      <c r="E27" s="162"/>
      <c r="F27" s="152"/>
      <c r="G27" s="150"/>
      <c r="H27" s="150"/>
      <c r="I27" s="1543"/>
      <c r="J27" s="1231">
        <f t="shared" si="1"/>
        <v>0</v>
      </c>
    </row>
    <row r="28" spans="1:10" x14ac:dyDescent="0.2">
      <c r="A28" s="149"/>
      <c r="B28" s="150"/>
      <c r="C28" s="162"/>
      <c r="D28" s="162"/>
      <c r="E28" s="162"/>
      <c r="F28" s="152"/>
      <c r="G28" s="150"/>
      <c r="H28" s="150"/>
      <c r="I28" s="1543"/>
      <c r="J28" s="1231">
        <f t="shared" si="1"/>
        <v>0</v>
      </c>
    </row>
    <row r="29" spans="1:10" x14ac:dyDescent="0.2">
      <c r="A29" s="149"/>
      <c r="B29" s="150"/>
      <c r="C29" s="162"/>
      <c r="D29" s="162"/>
      <c r="E29" s="162"/>
      <c r="F29" s="152"/>
      <c r="G29" s="150"/>
      <c r="H29" s="150"/>
      <c r="I29" s="1543"/>
      <c r="J29" s="1231">
        <f t="shared" si="1"/>
        <v>0</v>
      </c>
    </row>
    <row r="30" spans="1:10" x14ac:dyDescent="0.2">
      <c r="A30" s="149"/>
      <c r="B30" s="150"/>
      <c r="C30" s="162"/>
      <c r="D30" s="162"/>
      <c r="E30" s="162"/>
      <c r="F30" s="152"/>
      <c r="G30" s="150"/>
      <c r="H30" s="150"/>
      <c r="I30" s="1543"/>
      <c r="J30" s="1231">
        <f t="shared" si="1"/>
        <v>0</v>
      </c>
    </row>
    <row r="31" spans="1:10" ht="15.75" thickBot="1" x14ac:dyDescent="0.25">
      <c r="A31" s="181"/>
      <c r="B31" s="182"/>
      <c r="C31" s="828"/>
      <c r="D31" s="828"/>
      <c r="E31" s="828"/>
      <c r="F31" s="825"/>
      <c r="G31" s="154"/>
      <c r="H31" s="154"/>
      <c r="I31" s="1544"/>
      <c r="J31" s="1234">
        <f t="shared" si="1"/>
        <v>0</v>
      </c>
    </row>
    <row r="32" spans="1:10" x14ac:dyDescent="0.2">
      <c r="A32" s="1191"/>
      <c r="B32" s="1192"/>
      <c r="C32" s="1192"/>
      <c r="D32" s="1192"/>
      <c r="E32" s="1192"/>
      <c r="F32" s="1192"/>
      <c r="G32" s="1192"/>
      <c r="H32" s="1192"/>
      <c r="I32" s="1549" t="s">
        <v>545</v>
      </c>
      <c r="J32" s="1199">
        <f>SUM(J22:J31)</f>
        <v>0</v>
      </c>
    </row>
    <row r="33" spans="1:10" x14ac:dyDescent="0.2">
      <c r="A33" s="164"/>
      <c r="B33" s="165"/>
      <c r="C33" s="165"/>
      <c r="D33" s="165"/>
      <c r="E33" s="165"/>
      <c r="F33" s="165"/>
      <c r="G33" s="165"/>
      <c r="H33" s="165"/>
      <c r="I33" s="1345" t="s">
        <v>544</v>
      </c>
      <c r="J33" s="1200"/>
    </row>
    <row r="34" spans="1:10" x14ac:dyDescent="0.2">
      <c r="A34" s="177" t="s">
        <v>60</v>
      </c>
      <c r="B34" s="1181"/>
      <c r="C34" s="141"/>
      <c r="D34" s="141"/>
      <c r="E34" s="141"/>
      <c r="F34" s="141"/>
      <c r="G34" s="141"/>
      <c r="H34" s="141"/>
      <c r="I34" s="669"/>
      <c r="J34" s="667"/>
    </row>
    <row r="35" spans="1:10" ht="30" x14ac:dyDescent="0.2">
      <c r="A35" s="1180" t="s">
        <v>541</v>
      </c>
      <c r="B35" s="674" t="s">
        <v>4</v>
      </c>
      <c r="C35" s="1203" t="s">
        <v>16</v>
      </c>
      <c r="D35" s="1203"/>
      <c r="E35" s="1203"/>
      <c r="F35" s="1203"/>
      <c r="G35" s="1204"/>
      <c r="H35" s="143" t="s">
        <v>61</v>
      </c>
      <c r="I35" s="143" t="s">
        <v>5</v>
      </c>
      <c r="J35" s="1195" t="s">
        <v>43</v>
      </c>
    </row>
    <row r="36" spans="1:10" x14ac:dyDescent="0.2">
      <c r="A36" s="1190"/>
      <c r="B36" s="179"/>
      <c r="C36" s="829"/>
      <c r="D36" s="829"/>
      <c r="E36" s="829"/>
      <c r="F36" s="829"/>
      <c r="G36" s="827"/>
      <c r="H36" s="146"/>
      <c r="I36" s="1542"/>
      <c r="J36" s="1228">
        <f t="shared" ref="J36:J45" si="2">H36*I36</f>
        <v>0</v>
      </c>
    </row>
    <row r="37" spans="1:10" x14ac:dyDescent="0.2">
      <c r="A37" s="149"/>
      <c r="B37" s="150"/>
      <c r="C37" s="162"/>
      <c r="D37" s="162"/>
      <c r="E37" s="162"/>
      <c r="F37" s="162"/>
      <c r="G37" s="152"/>
      <c r="H37" s="150"/>
      <c r="I37" s="1543"/>
      <c r="J37" s="1231">
        <f t="shared" si="2"/>
        <v>0</v>
      </c>
    </row>
    <row r="38" spans="1:10" x14ac:dyDescent="0.2">
      <c r="A38" s="149"/>
      <c r="B38" s="150"/>
      <c r="C38" s="162"/>
      <c r="D38" s="162"/>
      <c r="E38" s="162"/>
      <c r="F38" s="162"/>
      <c r="G38" s="152"/>
      <c r="H38" s="150"/>
      <c r="I38" s="1543"/>
      <c r="J38" s="1231">
        <f t="shared" si="2"/>
        <v>0</v>
      </c>
    </row>
    <row r="39" spans="1:10" x14ac:dyDescent="0.2">
      <c r="A39" s="149"/>
      <c r="B39" s="150"/>
      <c r="C39" s="162"/>
      <c r="D39" s="162"/>
      <c r="E39" s="162"/>
      <c r="F39" s="162"/>
      <c r="G39" s="152"/>
      <c r="H39" s="150"/>
      <c r="I39" s="1543"/>
      <c r="J39" s="1231">
        <f t="shared" si="2"/>
        <v>0</v>
      </c>
    </row>
    <row r="40" spans="1:10" x14ac:dyDescent="0.2">
      <c r="A40" s="149"/>
      <c r="B40" s="150"/>
      <c r="C40" s="162"/>
      <c r="D40" s="162"/>
      <c r="E40" s="162"/>
      <c r="F40" s="162"/>
      <c r="G40" s="152"/>
      <c r="H40" s="150"/>
      <c r="I40" s="1543"/>
      <c r="J40" s="1231">
        <f t="shared" si="2"/>
        <v>0</v>
      </c>
    </row>
    <row r="41" spans="1:10" x14ac:dyDescent="0.2">
      <c r="A41" s="149"/>
      <c r="B41" s="150"/>
      <c r="C41" s="162"/>
      <c r="D41" s="162"/>
      <c r="E41" s="162"/>
      <c r="F41" s="162"/>
      <c r="G41" s="152"/>
      <c r="H41" s="150"/>
      <c r="I41" s="1543"/>
      <c r="J41" s="1231">
        <f t="shared" si="2"/>
        <v>0</v>
      </c>
    </row>
    <row r="42" spans="1:10" x14ac:dyDescent="0.2">
      <c r="A42" s="149"/>
      <c r="B42" s="150"/>
      <c r="C42" s="162"/>
      <c r="D42" s="162"/>
      <c r="E42" s="162"/>
      <c r="F42" s="162"/>
      <c r="G42" s="152"/>
      <c r="H42" s="150"/>
      <c r="I42" s="1543"/>
      <c r="J42" s="1231">
        <f t="shared" si="2"/>
        <v>0</v>
      </c>
    </row>
    <row r="43" spans="1:10" x14ac:dyDescent="0.2">
      <c r="A43" s="149"/>
      <c r="B43" s="150"/>
      <c r="C43" s="162"/>
      <c r="D43" s="162"/>
      <c r="E43" s="162"/>
      <c r="F43" s="162"/>
      <c r="G43" s="152"/>
      <c r="H43" s="150"/>
      <c r="I43" s="1543"/>
      <c r="J43" s="1231">
        <f t="shared" si="2"/>
        <v>0</v>
      </c>
    </row>
    <row r="44" spans="1:10" x14ac:dyDescent="0.2">
      <c r="A44" s="149"/>
      <c r="B44" s="150"/>
      <c r="C44" s="162"/>
      <c r="D44" s="162"/>
      <c r="E44" s="162"/>
      <c r="F44" s="162"/>
      <c r="G44" s="152"/>
      <c r="H44" s="150"/>
      <c r="I44" s="1543"/>
      <c r="J44" s="1231">
        <f t="shared" si="2"/>
        <v>0</v>
      </c>
    </row>
    <row r="45" spans="1:10" ht="15.75" thickBot="1" x14ac:dyDescent="0.25">
      <c r="A45" s="181"/>
      <c r="B45" s="182"/>
      <c r="C45" s="828"/>
      <c r="D45" s="828"/>
      <c r="E45" s="828"/>
      <c r="F45" s="828"/>
      <c r="G45" s="825"/>
      <c r="H45" s="154"/>
      <c r="I45" s="1544"/>
      <c r="J45" s="1234">
        <f t="shared" si="2"/>
        <v>0</v>
      </c>
    </row>
    <row r="46" spans="1:10" x14ac:dyDescent="0.2">
      <c r="A46" s="1191"/>
      <c r="B46" s="1192"/>
      <c r="C46" s="1192"/>
      <c r="D46" s="1192"/>
      <c r="E46" s="1192"/>
      <c r="F46" s="1192"/>
      <c r="G46" s="1192"/>
      <c r="H46" s="1192"/>
      <c r="I46" s="1549" t="s">
        <v>546</v>
      </c>
      <c r="J46" s="1199">
        <f>SUM(J36:J45)</f>
        <v>0</v>
      </c>
    </row>
    <row r="47" spans="1:10" x14ac:dyDescent="0.2">
      <c r="A47" s="164"/>
      <c r="B47" s="165"/>
      <c r="C47" s="165"/>
      <c r="D47" s="165"/>
      <c r="E47" s="165"/>
      <c r="F47" s="165"/>
      <c r="G47" s="165"/>
      <c r="H47" s="165"/>
      <c r="I47" s="1345" t="s">
        <v>544</v>
      </c>
      <c r="J47" s="1200"/>
    </row>
    <row r="48" spans="1:10" x14ac:dyDescent="0.2">
      <c r="A48" s="140" t="s">
        <v>62</v>
      </c>
      <c r="B48" s="1173"/>
      <c r="C48" s="214"/>
      <c r="D48" s="214"/>
      <c r="E48" s="214"/>
      <c r="F48" s="214"/>
      <c r="G48" s="214"/>
      <c r="H48" s="214"/>
      <c r="I48" s="1196"/>
      <c r="J48" s="668"/>
    </row>
    <row r="49" spans="1:14" ht="30" x14ac:dyDescent="0.2">
      <c r="A49" s="1180" t="s">
        <v>541</v>
      </c>
      <c r="B49" s="674" t="s">
        <v>4</v>
      </c>
      <c r="C49" s="213" t="s">
        <v>11</v>
      </c>
      <c r="D49" s="143" t="s">
        <v>63</v>
      </c>
      <c r="E49" s="1947" t="s">
        <v>64</v>
      </c>
      <c r="F49" s="1948"/>
      <c r="G49" s="213" t="s">
        <v>12</v>
      </c>
      <c r="H49" s="213" t="s">
        <v>13</v>
      </c>
      <c r="I49" s="213" t="s">
        <v>5</v>
      </c>
      <c r="J49" s="1195" t="s">
        <v>43</v>
      </c>
    </row>
    <row r="50" spans="1:14" x14ac:dyDescent="0.2">
      <c r="A50" s="145"/>
      <c r="B50" s="1172"/>
      <c r="C50" s="146"/>
      <c r="D50" s="146">
        <v>100</v>
      </c>
      <c r="E50" s="1952"/>
      <c r="F50" s="1953"/>
      <c r="G50" s="146"/>
      <c r="H50" s="146"/>
      <c r="I50" s="1542"/>
      <c r="J50" s="1228">
        <f t="shared" ref="J50:J59" si="3">D50*I50</f>
        <v>0</v>
      </c>
    </row>
    <row r="51" spans="1:14" x14ac:dyDescent="0.2">
      <c r="A51" s="149"/>
      <c r="B51" s="152"/>
      <c r="C51" s="150"/>
      <c r="D51" s="150"/>
      <c r="E51" s="1954"/>
      <c r="F51" s="1955"/>
      <c r="G51" s="150"/>
      <c r="H51" s="150"/>
      <c r="I51" s="1543"/>
      <c r="J51" s="1231">
        <f t="shared" si="3"/>
        <v>0</v>
      </c>
    </row>
    <row r="52" spans="1:14" x14ac:dyDescent="0.2">
      <c r="A52" s="149"/>
      <c r="B52" s="152"/>
      <c r="C52" s="150"/>
      <c r="D52" s="150"/>
      <c r="E52" s="1954"/>
      <c r="F52" s="1955"/>
      <c r="G52" s="150"/>
      <c r="H52" s="150"/>
      <c r="I52" s="1543"/>
      <c r="J52" s="1231">
        <f t="shared" si="3"/>
        <v>0</v>
      </c>
    </row>
    <row r="53" spans="1:14" x14ac:dyDescent="0.2">
      <c r="A53" s="149"/>
      <c r="B53" s="152"/>
      <c r="C53" s="150"/>
      <c r="D53" s="150"/>
      <c r="E53" s="1954"/>
      <c r="F53" s="1955"/>
      <c r="G53" s="150"/>
      <c r="H53" s="150"/>
      <c r="I53" s="1543"/>
      <c r="J53" s="1231">
        <f t="shared" si="3"/>
        <v>0</v>
      </c>
    </row>
    <row r="54" spans="1:14" x14ac:dyDescent="0.2">
      <c r="A54" s="149"/>
      <c r="B54" s="152"/>
      <c r="C54" s="150"/>
      <c r="D54" s="150"/>
      <c r="E54" s="1954"/>
      <c r="F54" s="1955"/>
      <c r="G54" s="150"/>
      <c r="H54" s="150"/>
      <c r="I54" s="1543"/>
      <c r="J54" s="1231">
        <f t="shared" si="3"/>
        <v>0</v>
      </c>
    </row>
    <row r="55" spans="1:14" x14ac:dyDescent="0.2">
      <c r="A55" s="149"/>
      <c r="B55" s="152"/>
      <c r="C55" s="150"/>
      <c r="D55" s="150"/>
      <c r="E55" s="1954"/>
      <c r="F55" s="1955"/>
      <c r="G55" s="150"/>
      <c r="H55" s="150"/>
      <c r="I55" s="1543"/>
      <c r="J55" s="1231">
        <f t="shared" si="3"/>
        <v>0</v>
      </c>
    </row>
    <row r="56" spans="1:14" x14ac:dyDescent="0.2">
      <c r="A56" s="149"/>
      <c r="B56" s="152"/>
      <c r="C56" s="150"/>
      <c r="D56" s="150"/>
      <c r="E56" s="1954"/>
      <c r="F56" s="1955"/>
      <c r="G56" s="150"/>
      <c r="H56" s="150"/>
      <c r="I56" s="1543"/>
      <c r="J56" s="1231">
        <f t="shared" si="3"/>
        <v>0</v>
      </c>
    </row>
    <row r="57" spans="1:14" x14ac:dyDescent="0.2">
      <c r="A57" s="149"/>
      <c r="B57" s="152"/>
      <c r="C57" s="150"/>
      <c r="D57" s="150"/>
      <c r="E57" s="1954"/>
      <c r="F57" s="1955"/>
      <c r="G57" s="150"/>
      <c r="H57" s="150"/>
      <c r="I57" s="1543"/>
      <c r="J57" s="1231">
        <f t="shared" si="3"/>
        <v>0</v>
      </c>
    </row>
    <row r="58" spans="1:14" x14ac:dyDescent="0.2">
      <c r="A58" s="149"/>
      <c r="B58" s="152"/>
      <c r="C58" s="150"/>
      <c r="D58" s="150"/>
      <c r="E58" s="1954"/>
      <c r="F58" s="1955"/>
      <c r="G58" s="150"/>
      <c r="H58" s="150"/>
      <c r="I58" s="1543"/>
      <c r="J58" s="1231">
        <f t="shared" si="3"/>
        <v>0</v>
      </c>
      <c r="K58" s="291"/>
      <c r="L58" s="292"/>
      <c r="M58" s="292"/>
      <c r="N58" s="292"/>
    </row>
    <row r="59" spans="1:14" ht="15.75" thickBot="1" x14ac:dyDescent="0.25">
      <c r="A59" s="153"/>
      <c r="B59" s="156"/>
      <c r="C59" s="154"/>
      <c r="D59" s="154"/>
      <c r="E59" s="1956"/>
      <c r="F59" s="1957"/>
      <c r="G59" s="154"/>
      <c r="H59" s="154"/>
      <c r="I59" s="1544"/>
      <c r="J59" s="1234">
        <f t="shared" si="3"/>
        <v>0</v>
      </c>
      <c r="K59" s="60"/>
      <c r="L59" s="60"/>
      <c r="M59" s="60"/>
      <c r="N59" s="60"/>
    </row>
    <row r="60" spans="1:14" x14ac:dyDescent="0.2">
      <c r="A60" s="1191"/>
      <c r="B60" s="1192"/>
      <c r="C60" s="1192"/>
      <c r="D60" s="1192"/>
      <c r="E60" s="1192"/>
      <c r="F60" s="1192"/>
      <c r="G60" s="1192"/>
      <c r="H60" s="1192"/>
      <c r="I60" s="1549" t="s">
        <v>547</v>
      </c>
      <c r="J60" s="1199">
        <f>SUM(J50:J59)</f>
        <v>0</v>
      </c>
    </row>
    <row r="61" spans="1:14" x14ac:dyDescent="0.2">
      <c r="A61" s="164"/>
      <c r="B61" s="165"/>
      <c r="C61" s="165"/>
      <c r="D61" s="165"/>
      <c r="E61" s="165"/>
      <c r="F61" s="165"/>
      <c r="G61" s="165"/>
      <c r="H61" s="165"/>
      <c r="I61" s="1345" t="s">
        <v>544</v>
      </c>
      <c r="J61" s="1200"/>
    </row>
    <row r="62" spans="1:14" ht="15.75" thickBot="1" x14ac:dyDescent="0.25">
      <c r="A62" s="1958"/>
      <c r="B62" s="1959"/>
      <c r="C62" s="1959"/>
      <c r="D62" s="1959"/>
      <c r="E62" s="1959"/>
      <c r="F62" s="1959"/>
      <c r="G62" s="1959"/>
      <c r="H62" s="1959"/>
      <c r="I62" s="1959"/>
      <c r="J62" s="1198"/>
    </row>
    <row r="63" spans="1:14" ht="16.5" thickTop="1" thickBot="1" x14ac:dyDescent="0.25">
      <c r="A63" s="1949" t="s">
        <v>548</v>
      </c>
      <c r="B63" s="1950"/>
      <c r="C63" s="1950"/>
      <c r="D63" s="1950"/>
      <c r="E63" s="1950"/>
      <c r="F63" s="1950"/>
      <c r="G63" s="1950"/>
      <c r="H63" s="1950"/>
      <c r="I63" s="1951"/>
      <c r="J63" s="1201">
        <f>J60+J46+J32+J18</f>
        <v>0</v>
      </c>
    </row>
    <row r="64" spans="1:14" ht="16.5" thickTop="1" thickBot="1" x14ac:dyDescent="0.25">
      <c r="A64" s="174"/>
      <c r="B64" s="172"/>
      <c r="C64" s="172"/>
      <c r="D64" s="172"/>
      <c r="E64" s="172"/>
      <c r="F64" s="172"/>
      <c r="G64" s="172"/>
      <c r="H64" s="172"/>
      <c r="I64" s="172" t="s">
        <v>544</v>
      </c>
      <c r="J64" s="1202">
        <f>J61+J47+J33+J19</f>
        <v>0</v>
      </c>
    </row>
    <row r="65" spans="10:10" ht="15.75" thickTop="1" x14ac:dyDescent="0.2">
      <c r="J65" s="1508"/>
    </row>
  </sheetData>
  <mergeCells count="13">
    <mergeCell ref="E49:F49"/>
    <mergeCell ref="A63:I63"/>
    <mergeCell ref="E50:F50"/>
    <mergeCell ref="E51:F51"/>
    <mergeCell ref="E52:F52"/>
    <mergeCell ref="E53:F53"/>
    <mergeCell ref="E54:F54"/>
    <mergeCell ref="E55:F55"/>
    <mergeCell ref="E56:F56"/>
    <mergeCell ref="E57:F57"/>
    <mergeCell ref="E58:F58"/>
    <mergeCell ref="E59:F59"/>
    <mergeCell ref="A62:I62"/>
  </mergeCells>
  <phoneticPr fontId="54" type="noConversion"/>
  <printOptions horizontalCentered="1"/>
  <pageMargins left="0.74803149606299213" right="0.55118110236220474" top="0.78740157480314965" bottom="0.78740157480314965" header="0.51181102362204722" footer="0.51181102362204722"/>
  <pageSetup paperSize="9" scale="65" orientation="portrait" horizontalDpi="300" verticalDpi="300" r:id="rId1"/>
  <headerFooter alignWithMargins="0">
    <oddFooter>&amp;L&amp;8&amp;F Rev 1 of 310805&amp;C&amp;8&amp;A&amp;R&amp;8&amp;D</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13"/>
  </sheetPr>
  <dimension ref="A1:I68"/>
  <sheetViews>
    <sheetView zoomScale="75" zoomScaleNormal="75" zoomScaleSheetLayoutView="75" workbookViewId="0">
      <selection activeCell="E3" sqref="E3"/>
    </sheetView>
  </sheetViews>
  <sheetFormatPr defaultRowHeight="15" x14ac:dyDescent="0.2"/>
  <cols>
    <col min="1" max="1" width="6.109375" customWidth="1"/>
    <col min="2" max="2" width="10.5546875" customWidth="1"/>
    <col min="3" max="3" width="13.109375" customWidth="1"/>
    <col min="4" max="4" width="19.109375" customWidth="1"/>
    <col min="5" max="5" width="10.77734375" customWidth="1"/>
    <col min="6" max="6" width="13.77734375" customWidth="1"/>
    <col min="7" max="7" width="11" customWidth="1"/>
    <col min="8" max="8" width="9" bestFit="1" customWidth="1"/>
    <col min="9" max="9" width="13.109375" customWidth="1"/>
  </cols>
  <sheetData>
    <row r="1" spans="1:9" ht="22.5" customHeight="1" thickTop="1" x14ac:dyDescent="0.2">
      <c r="A1" s="1206" t="s">
        <v>65</v>
      </c>
      <c r="B1" s="1207"/>
      <c r="C1" s="1184"/>
      <c r="D1" s="1184"/>
      <c r="E1" s="1184"/>
      <c r="F1" s="1184"/>
      <c r="G1" s="1184"/>
      <c r="H1" s="1184"/>
      <c r="I1" s="1185"/>
    </row>
    <row r="2" spans="1:9" ht="19.5" customHeight="1" x14ac:dyDescent="0.2">
      <c r="A2" s="1186" t="s">
        <v>161</v>
      </c>
      <c r="B2" s="822"/>
      <c r="C2" s="60"/>
      <c r="D2" s="60"/>
      <c r="E2" s="613"/>
      <c r="F2" s="1187" t="s">
        <v>162</v>
      </c>
      <c r="G2" s="1187"/>
      <c r="H2" s="60"/>
      <c r="I2" s="27"/>
    </row>
    <row r="3" spans="1:9" ht="16.5" thickBot="1" x14ac:dyDescent="0.25">
      <c r="A3" s="1918" t="s">
        <v>542</v>
      </c>
      <c r="B3" s="1919"/>
      <c r="C3" s="1919"/>
      <c r="D3" s="1390">
        <f>'Input Data'!D29</f>
        <v>0</v>
      </c>
      <c r="E3" s="135"/>
      <c r="F3" s="1392" t="s">
        <v>615</v>
      </c>
      <c r="G3" s="1459">
        <f>'Input Data'!D7</f>
        <v>0</v>
      </c>
      <c r="H3" s="133"/>
      <c r="I3" s="136"/>
    </row>
    <row r="4" spans="1:9" ht="15.75" thickTop="1" x14ac:dyDescent="0.2">
      <c r="A4" s="137"/>
      <c r="B4" s="138"/>
      <c r="C4" s="138"/>
      <c r="D4" s="139"/>
      <c r="E4" s="139"/>
      <c r="F4" s="139"/>
      <c r="G4" s="60"/>
      <c r="H4" s="60"/>
      <c r="I4" s="27"/>
    </row>
    <row r="5" spans="1:9" x14ac:dyDescent="0.2">
      <c r="A5" s="140" t="s">
        <v>66</v>
      </c>
      <c r="B5" s="1171"/>
      <c r="C5" s="141"/>
      <c r="D5" s="141"/>
      <c r="E5" s="141"/>
      <c r="F5" s="141"/>
      <c r="G5" s="141"/>
      <c r="H5" s="141"/>
      <c r="I5" s="142"/>
    </row>
    <row r="6" spans="1:9" ht="30" x14ac:dyDescent="0.2">
      <c r="A6" s="1180" t="s">
        <v>541</v>
      </c>
      <c r="B6" s="671" t="s">
        <v>67</v>
      </c>
      <c r="C6" s="672" t="s">
        <v>40</v>
      </c>
      <c r="D6" s="673" t="s">
        <v>25</v>
      </c>
      <c r="E6" s="671"/>
      <c r="F6" s="672" t="s">
        <v>600</v>
      </c>
      <c r="G6" s="672" t="s">
        <v>68</v>
      </c>
      <c r="H6" s="672" t="s">
        <v>325</v>
      </c>
      <c r="I6" s="1225" t="s">
        <v>7</v>
      </c>
    </row>
    <row r="7" spans="1:9" x14ac:dyDescent="0.2">
      <c r="A7" s="1393"/>
      <c r="B7" s="1394"/>
      <c r="C7" s="1395"/>
      <c r="D7" s="1396"/>
      <c r="E7" s="1397"/>
      <c r="F7" s="1974"/>
      <c r="G7" s="1974"/>
      <c r="H7" s="1973"/>
      <c r="I7" s="1228">
        <f>G7*H7</f>
        <v>0</v>
      </c>
    </row>
    <row r="8" spans="1:9" x14ac:dyDescent="0.2">
      <c r="A8" s="149"/>
      <c r="B8" s="152"/>
      <c r="C8" s="150"/>
      <c r="D8" s="151"/>
      <c r="E8" s="152"/>
      <c r="F8" s="1334"/>
      <c r="G8" s="1334"/>
      <c r="H8" s="1543"/>
      <c r="I8" s="1231">
        <f t="shared" ref="I8:I16" si="0">G8*H8</f>
        <v>0</v>
      </c>
    </row>
    <row r="9" spans="1:9" x14ac:dyDescent="0.2">
      <c r="A9" s="149"/>
      <c r="B9" s="152"/>
      <c r="C9" s="150"/>
      <c r="D9" s="151"/>
      <c r="E9" s="152"/>
      <c r="F9" s="1334"/>
      <c r="G9" s="1334"/>
      <c r="H9" s="1543"/>
      <c r="I9" s="1231">
        <f t="shared" si="0"/>
        <v>0</v>
      </c>
    </row>
    <row r="10" spans="1:9" x14ac:dyDescent="0.2">
      <c r="A10" s="149"/>
      <c r="B10" s="152"/>
      <c r="C10" s="150"/>
      <c r="D10" s="151"/>
      <c r="E10" s="152"/>
      <c r="F10" s="1334"/>
      <c r="G10" s="1334"/>
      <c r="H10" s="1543"/>
      <c r="I10" s="1231">
        <f t="shared" si="0"/>
        <v>0</v>
      </c>
    </row>
    <row r="11" spans="1:9" x14ac:dyDescent="0.2">
      <c r="A11" s="149"/>
      <c r="B11" s="152"/>
      <c r="C11" s="150"/>
      <c r="D11" s="151"/>
      <c r="E11" s="152"/>
      <c r="F11" s="1334"/>
      <c r="G11" s="1334"/>
      <c r="H11" s="1543"/>
      <c r="I11" s="1231">
        <f t="shared" si="0"/>
        <v>0</v>
      </c>
    </row>
    <row r="12" spans="1:9" x14ac:dyDescent="0.2">
      <c r="A12" s="149"/>
      <c r="B12" s="152"/>
      <c r="C12" s="150"/>
      <c r="D12" s="151"/>
      <c r="E12" s="152"/>
      <c r="F12" s="1334"/>
      <c r="G12" s="1334"/>
      <c r="H12" s="1543"/>
      <c r="I12" s="1231">
        <f t="shared" si="0"/>
        <v>0</v>
      </c>
    </row>
    <row r="13" spans="1:9" x14ac:dyDescent="0.2">
      <c r="A13" s="149"/>
      <c r="B13" s="152"/>
      <c r="C13" s="150"/>
      <c r="D13" s="151"/>
      <c r="E13" s="152"/>
      <c r="F13" s="1334"/>
      <c r="G13" s="1334"/>
      <c r="H13" s="1543"/>
      <c r="I13" s="1231">
        <f t="shared" si="0"/>
        <v>0</v>
      </c>
    </row>
    <row r="14" spans="1:9" x14ac:dyDescent="0.2">
      <c r="A14" s="149"/>
      <c r="B14" s="152"/>
      <c r="C14" s="150"/>
      <c r="D14" s="151"/>
      <c r="E14" s="152"/>
      <c r="F14" s="1334"/>
      <c r="G14" s="1334"/>
      <c r="H14" s="1543"/>
      <c r="I14" s="1231">
        <f t="shared" si="0"/>
        <v>0</v>
      </c>
    </row>
    <row r="15" spans="1:9" x14ac:dyDescent="0.2">
      <c r="A15" s="149"/>
      <c r="B15" s="152"/>
      <c r="C15" s="150"/>
      <c r="D15" s="151"/>
      <c r="E15" s="152"/>
      <c r="F15" s="1334"/>
      <c r="G15" s="1334"/>
      <c r="H15" s="1543"/>
      <c r="I15" s="1231">
        <f t="shared" si="0"/>
        <v>0</v>
      </c>
    </row>
    <row r="16" spans="1:9" ht="15.75" thickBot="1" x14ac:dyDescent="0.25">
      <c r="A16" s="1398"/>
      <c r="B16" s="167"/>
      <c r="C16" s="168"/>
      <c r="D16" s="166"/>
      <c r="E16" s="167"/>
      <c r="F16" s="1975"/>
      <c r="G16" s="1975"/>
      <c r="H16" s="1547"/>
      <c r="I16" s="1234">
        <f t="shared" si="0"/>
        <v>0</v>
      </c>
    </row>
    <row r="17" spans="1:9" ht="15.75" thickBot="1" x14ac:dyDescent="0.25">
      <c r="A17" s="1191"/>
      <c r="B17" s="1192"/>
      <c r="C17" s="1192"/>
      <c r="D17" s="1192"/>
      <c r="E17" s="1192"/>
      <c r="F17" s="1192"/>
      <c r="G17" s="1192"/>
      <c r="H17" s="1197" t="s">
        <v>601</v>
      </c>
      <c r="I17" s="1239">
        <f>SUM(I7:I16)</f>
        <v>0</v>
      </c>
    </row>
    <row r="18" spans="1:9" ht="16.5" thickTop="1" thickBot="1" x14ac:dyDescent="0.25">
      <c r="A18" s="176"/>
      <c r="B18" s="133"/>
      <c r="C18" s="133"/>
      <c r="D18" s="133"/>
      <c r="E18" s="133"/>
      <c r="F18" s="133"/>
      <c r="G18" s="133"/>
      <c r="H18" s="172" t="s">
        <v>544</v>
      </c>
      <c r="I18" s="1426"/>
    </row>
    <row r="19" spans="1:9" ht="15.75" thickTop="1" x14ac:dyDescent="0.2">
      <c r="A19" s="1372"/>
      <c r="B19" s="613"/>
      <c r="C19" s="613"/>
      <c r="D19" s="613"/>
      <c r="E19" s="613"/>
      <c r="F19" s="613"/>
      <c r="G19" s="613"/>
      <c r="H19" s="613"/>
      <c r="I19" s="614"/>
    </row>
    <row r="20" spans="1:9" x14ac:dyDescent="0.2">
      <c r="A20" s="140" t="s">
        <v>69</v>
      </c>
      <c r="B20" s="1173"/>
      <c r="C20" s="159"/>
      <c r="D20" s="159"/>
      <c r="E20" s="159"/>
      <c r="F20" s="159"/>
      <c r="G20" s="159"/>
      <c r="H20" s="159"/>
      <c r="I20" s="1194"/>
    </row>
    <row r="21" spans="1:9" ht="45" x14ac:dyDescent="0.2">
      <c r="A21" s="1180" t="s">
        <v>541</v>
      </c>
      <c r="B21" s="674" t="s">
        <v>4</v>
      </c>
      <c r="C21" s="673" t="s">
        <v>40</v>
      </c>
      <c r="D21" s="1391"/>
      <c r="E21" s="673" t="s">
        <v>25</v>
      </c>
      <c r="F21" s="1391"/>
      <c r="G21" s="672" t="s">
        <v>627</v>
      </c>
      <c r="H21" s="672" t="s">
        <v>70</v>
      </c>
      <c r="I21" s="666" t="s">
        <v>7</v>
      </c>
    </row>
    <row r="22" spans="1:9" ht="27" customHeight="1" x14ac:dyDescent="0.2">
      <c r="A22" s="145"/>
      <c r="B22" s="1174"/>
      <c r="C22" s="147"/>
      <c r="D22" s="161"/>
      <c r="E22" s="147"/>
      <c r="F22" s="148"/>
      <c r="G22" s="675"/>
      <c r="H22" s="1542"/>
      <c r="I22" s="1427">
        <f t="shared" ref="I22:I31" si="1">G22*H22</f>
        <v>0</v>
      </c>
    </row>
    <row r="23" spans="1:9" x14ac:dyDescent="0.2">
      <c r="A23" s="149"/>
      <c r="B23" s="162"/>
      <c r="C23" s="151"/>
      <c r="D23" s="162"/>
      <c r="E23" s="151"/>
      <c r="F23" s="152"/>
      <c r="G23" s="676"/>
      <c r="H23" s="1543"/>
      <c r="I23" s="1428">
        <f t="shared" si="1"/>
        <v>0</v>
      </c>
    </row>
    <row r="24" spans="1:9" x14ac:dyDescent="0.2">
      <c r="A24" s="149"/>
      <c r="B24" s="162"/>
      <c r="C24" s="151"/>
      <c r="D24" s="162"/>
      <c r="E24" s="151"/>
      <c r="F24" s="152"/>
      <c r="G24" s="676"/>
      <c r="H24" s="1543"/>
      <c r="I24" s="1428">
        <f t="shared" si="1"/>
        <v>0</v>
      </c>
    </row>
    <row r="25" spans="1:9" x14ac:dyDescent="0.2">
      <c r="A25" s="149"/>
      <c r="B25" s="162"/>
      <c r="C25" s="151"/>
      <c r="D25" s="162"/>
      <c r="E25" s="151"/>
      <c r="F25" s="152"/>
      <c r="G25" s="676"/>
      <c r="H25" s="1543"/>
      <c r="I25" s="1428">
        <f t="shared" si="1"/>
        <v>0</v>
      </c>
    </row>
    <row r="26" spans="1:9" x14ac:dyDescent="0.2">
      <c r="A26" s="149"/>
      <c r="B26" s="162"/>
      <c r="C26" s="151"/>
      <c r="D26" s="162"/>
      <c r="E26" s="151"/>
      <c r="F26" s="152"/>
      <c r="G26" s="676"/>
      <c r="H26" s="1543"/>
      <c r="I26" s="1428">
        <f t="shared" si="1"/>
        <v>0</v>
      </c>
    </row>
    <row r="27" spans="1:9" x14ac:dyDescent="0.2">
      <c r="A27" s="149"/>
      <c r="B27" s="162"/>
      <c r="C27" s="151"/>
      <c r="D27" s="162"/>
      <c r="E27" s="151"/>
      <c r="F27" s="152"/>
      <c r="G27" s="676"/>
      <c r="H27" s="1543"/>
      <c r="I27" s="1428">
        <f t="shared" si="1"/>
        <v>0</v>
      </c>
    </row>
    <row r="28" spans="1:9" x14ac:dyDescent="0.2">
      <c r="A28" s="149"/>
      <c r="B28" s="162"/>
      <c r="C28" s="151"/>
      <c r="D28" s="162"/>
      <c r="E28" s="151"/>
      <c r="F28" s="152"/>
      <c r="G28" s="676"/>
      <c r="H28" s="1543"/>
      <c r="I28" s="1428">
        <f t="shared" si="1"/>
        <v>0</v>
      </c>
    </row>
    <row r="29" spans="1:9" x14ac:dyDescent="0.2">
      <c r="A29" s="149"/>
      <c r="B29" s="162"/>
      <c r="C29" s="151"/>
      <c r="D29" s="162"/>
      <c r="E29" s="151"/>
      <c r="F29" s="152"/>
      <c r="G29" s="676"/>
      <c r="H29" s="1543"/>
      <c r="I29" s="1428">
        <f t="shared" si="1"/>
        <v>0</v>
      </c>
    </row>
    <row r="30" spans="1:9" x14ac:dyDescent="0.2">
      <c r="A30" s="149"/>
      <c r="B30" s="162"/>
      <c r="C30" s="151"/>
      <c r="D30" s="162"/>
      <c r="E30" s="151"/>
      <c r="F30" s="152"/>
      <c r="G30" s="676"/>
      <c r="H30" s="1543"/>
      <c r="I30" s="1428">
        <f t="shared" si="1"/>
        <v>0</v>
      </c>
    </row>
    <row r="31" spans="1:9" ht="15.75" thickBot="1" x14ac:dyDescent="0.25">
      <c r="A31" s="1398"/>
      <c r="B31" s="1399"/>
      <c r="C31" s="166"/>
      <c r="D31" s="1399"/>
      <c r="E31" s="166"/>
      <c r="F31" s="167"/>
      <c r="G31" s="1400"/>
      <c r="H31" s="1547"/>
      <c r="I31" s="1429">
        <f t="shared" si="1"/>
        <v>0</v>
      </c>
    </row>
    <row r="32" spans="1:9" ht="15.75" thickBot="1" x14ac:dyDescent="0.25">
      <c r="A32" s="1191"/>
      <c r="B32" s="1192"/>
      <c r="C32" s="1192"/>
      <c r="D32" s="1192"/>
      <c r="E32" s="1192"/>
      <c r="F32" s="1192"/>
      <c r="G32" s="1192"/>
      <c r="H32" s="1549" t="s">
        <v>602</v>
      </c>
      <c r="I32" s="1239">
        <f>SUM(I22:I31)</f>
        <v>0</v>
      </c>
    </row>
    <row r="33" spans="1:9" ht="16.5" thickTop="1" thickBot="1" x14ac:dyDescent="0.25">
      <c r="A33" s="174"/>
      <c r="B33" s="172"/>
      <c r="C33" s="172"/>
      <c r="D33" s="172"/>
      <c r="E33" s="172"/>
      <c r="F33" s="172"/>
      <c r="G33" s="172"/>
      <c r="H33" s="1550" t="s">
        <v>544</v>
      </c>
      <c r="I33" s="1430"/>
    </row>
    <row r="34" spans="1:9" ht="15.75" thickTop="1" x14ac:dyDescent="0.2">
      <c r="A34" s="1372"/>
      <c r="B34" s="613"/>
      <c r="C34" s="613"/>
      <c r="D34" s="613"/>
      <c r="E34" s="613"/>
      <c r="F34" s="613"/>
      <c r="G34" s="613"/>
      <c r="H34" s="613"/>
      <c r="I34" s="614"/>
    </row>
    <row r="35" spans="1:9" x14ac:dyDescent="0.2">
      <c r="A35" s="140" t="s">
        <v>71</v>
      </c>
      <c r="B35" s="1171"/>
      <c r="C35" s="141"/>
      <c r="D35" s="141"/>
      <c r="E35" s="141"/>
      <c r="F35" s="141"/>
      <c r="G35" s="141"/>
      <c r="H35" s="141"/>
      <c r="I35" s="667"/>
    </row>
    <row r="36" spans="1:9" ht="39.75" customHeight="1" x14ac:dyDescent="0.2">
      <c r="A36" s="1180" t="s">
        <v>541</v>
      </c>
      <c r="B36" s="674" t="s">
        <v>4</v>
      </c>
      <c r="C36" s="653" t="s">
        <v>40</v>
      </c>
      <c r="D36" s="671"/>
      <c r="E36" s="672" t="s">
        <v>72</v>
      </c>
      <c r="F36" s="672" t="s">
        <v>73</v>
      </c>
      <c r="G36" s="672" t="s">
        <v>74</v>
      </c>
      <c r="H36" s="672" t="s">
        <v>326</v>
      </c>
      <c r="I36" s="666" t="s">
        <v>7</v>
      </c>
    </row>
    <row r="37" spans="1:9" x14ac:dyDescent="0.2">
      <c r="A37" s="1401"/>
      <c r="B37" s="1402"/>
      <c r="C37" s="1403"/>
      <c r="D37" s="1404"/>
      <c r="E37" s="1405"/>
      <c r="F37" s="1405"/>
      <c r="G37" s="1406"/>
      <c r="H37" s="1407"/>
      <c r="I37" s="1431">
        <f>H37*F37</f>
        <v>0</v>
      </c>
    </row>
    <row r="38" spans="1:9" x14ac:dyDescent="0.2">
      <c r="A38" s="149"/>
      <c r="B38" s="162"/>
      <c r="C38" s="151"/>
      <c r="D38" s="152"/>
      <c r="E38" s="1408"/>
      <c r="F38" s="1408"/>
      <c r="G38" s="150"/>
      <c r="H38" s="1543"/>
      <c r="I38" s="1432">
        <f t="shared" ref="I38:I43" si="2">H38*F38</f>
        <v>0</v>
      </c>
    </row>
    <row r="39" spans="1:9" x14ac:dyDescent="0.2">
      <c r="A39" s="149"/>
      <c r="B39" s="162"/>
      <c r="C39" s="151"/>
      <c r="D39" s="152"/>
      <c r="E39" s="1408"/>
      <c r="F39" s="1408"/>
      <c r="G39" s="150"/>
      <c r="H39" s="1543"/>
      <c r="I39" s="1432">
        <f t="shared" si="2"/>
        <v>0</v>
      </c>
    </row>
    <row r="40" spans="1:9" x14ac:dyDescent="0.2">
      <c r="A40" s="149"/>
      <c r="B40" s="162"/>
      <c r="C40" s="151"/>
      <c r="D40" s="152"/>
      <c r="E40" s="1408"/>
      <c r="F40" s="1408"/>
      <c r="G40" s="150"/>
      <c r="H40" s="1543"/>
      <c r="I40" s="1432">
        <f t="shared" si="2"/>
        <v>0</v>
      </c>
    </row>
    <row r="41" spans="1:9" x14ac:dyDescent="0.2">
      <c r="A41" s="149"/>
      <c r="B41" s="162"/>
      <c r="C41" s="151"/>
      <c r="D41" s="152"/>
      <c r="E41" s="1408"/>
      <c r="F41" s="1408"/>
      <c r="G41" s="150"/>
      <c r="H41" s="1543"/>
      <c r="I41" s="1432">
        <f t="shared" si="2"/>
        <v>0</v>
      </c>
    </row>
    <row r="42" spans="1:9" x14ac:dyDescent="0.2">
      <c r="A42" s="149"/>
      <c r="B42" s="162"/>
      <c r="C42" s="151"/>
      <c r="D42" s="152"/>
      <c r="E42" s="1408"/>
      <c r="F42" s="1408"/>
      <c r="G42" s="150"/>
      <c r="H42" s="1543"/>
      <c r="I42" s="1432">
        <f t="shared" si="2"/>
        <v>0</v>
      </c>
    </row>
    <row r="43" spans="1:9" x14ac:dyDescent="0.2">
      <c r="A43" s="149"/>
      <c r="B43" s="162"/>
      <c r="C43" s="151"/>
      <c r="D43" s="152"/>
      <c r="E43" s="1408"/>
      <c r="F43" s="1408"/>
      <c r="G43" s="150"/>
      <c r="H43" s="1543"/>
      <c r="I43" s="1432">
        <f t="shared" si="2"/>
        <v>0</v>
      </c>
    </row>
    <row r="44" spans="1:9" x14ac:dyDescent="0.2">
      <c r="A44" s="149"/>
      <c r="B44" s="162"/>
      <c r="C44" s="151"/>
      <c r="D44" s="152"/>
      <c r="E44" s="1408"/>
      <c r="F44" s="1408"/>
      <c r="G44" s="150"/>
      <c r="H44" s="1543"/>
      <c r="I44" s="1432">
        <f>H44*F44</f>
        <v>0</v>
      </c>
    </row>
    <row r="45" spans="1:9" x14ac:dyDescent="0.2">
      <c r="A45" s="149"/>
      <c r="B45" s="162"/>
      <c r="C45" s="151"/>
      <c r="D45" s="152"/>
      <c r="E45" s="1408"/>
      <c r="F45" s="1408"/>
      <c r="G45" s="150"/>
      <c r="H45" s="1543"/>
      <c r="I45" s="1432">
        <f>H45*F45</f>
        <v>0</v>
      </c>
    </row>
    <row r="46" spans="1:9" ht="15.75" thickBot="1" x14ac:dyDescent="0.25">
      <c r="A46" s="1409"/>
      <c r="B46" s="1410"/>
      <c r="C46" s="1411"/>
      <c r="D46" s="1412"/>
      <c r="E46" s="1413"/>
      <c r="F46" s="1413"/>
      <c r="G46" s="1414"/>
      <c r="H46" s="1976"/>
      <c r="I46" s="1433">
        <f>H46*F46</f>
        <v>0</v>
      </c>
    </row>
    <row r="47" spans="1:9" ht="15.75" thickBot="1" x14ac:dyDescent="0.25">
      <c r="A47" s="1191"/>
      <c r="B47" s="1192"/>
      <c r="C47" s="1192"/>
      <c r="D47" s="1192"/>
      <c r="E47" s="1192"/>
      <c r="F47" s="1192"/>
      <c r="G47" s="1192"/>
      <c r="H47" s="1549" t="s">
        <v>603</v>
      </c>
      <c r="I47" s="1434">
        <f>SUM(I37:I46)</f>
        <v>0</v>
      </c>
    </row>
    <row r="48" spans="1:9" ht="16.5" thickTop="1" thickBot="1" x14ac:dyDescent="0.25">
      <c r="A48" s="176"/>
      <c r="B48" s="133"/>
      <c r="C48" s="133"/>
      <c r="D48" s="133"/>
      <c r="E48" s="133"/>
      <c r="F48" s="133"/>
      <c r="G48" s="133"/>
      <c r="H48" s="1550" t="s">
        <v>544</v>
      </c>
      <c r="I48" s="1460"/>
    </row>
    <row r="49" spans="1:9" ht="16.5" thickTop="1" thickBot="1" x14ac:dyDescent="0.25">
      <c r="A49" s="158"/>
      <c r="B49" s="60"/>
      <c r="C49" s="60"/>
      <c r="D49" s="60"/>
      <c r="E49" s="60"/>
      <c r="F49" s="60"/>
      <c r="G49" s="60"/>
      <c r="H49" s="173" t="s">
        <v>604</v>
      </c>
      <c r="I49" s="1509">
        <f>I17+IF(AND(I32&gt;0,I17&gt;0),0,I32)+I47</f>
        <v>0</v>
      </c>
    </row>
    <row r="50" spans="1:9" ht="16.5" thickTop="1" thickBot="1" x14ac:dyDescent="0.25">
      <c r="A50" s="176"/>
      <c r="B50" s="133"/>
      <c r="C50" s="133"/>
      <c r="D50" s="133"/>
      <c r="E50" s="133"/>
      <c r="F50" s="133"/>
      <c r="G50" s="133"/>
      <c r="H50" s="172" t="s">
        <v>544</v>
      </c>
      <c r="I50" s="1461">
        <f>I18+IF(AND(I33&gt;0,I18&gt;0),0,I33)+I48</f>
        <v>0</v>
      </c>
    </row>
    <row r="51" spans="1:9" ht="15.75" thickTop="1" x14ac:dyDescent="0.2">
      <c r="A51" s="158"/>
      <c r="B51" s="60"/>
      <c r="C51" s="60"/>
      <c r="D51" s="60"/>
      <c r="E51" s="60"/>
      <c r="F51" s="60"/>
      <c r="G51" s="60"/>
      <c r="H51" s="1193"/>
      <c r="I51" s="1435"/>
    </row>
    <row r="52" spans="1:9" x14ac:dyDescent="0.2">
      <c r="A52" s="140" t="s">
        <v>605</v>
      </c>
      <c r="B52" s="1415"/>
      <c r="C52" s="141"/>
      <c r="D52" s="141"/>
      <c r="E52" s="141"/>
      <c r="F52" s="141"/>
      <c r="G52" s="141"/>
      <c r="H52" s="669"/>
      <c r="I52" s="667"/>
    </row>
    <row r="53" spans="1:9" ht="45" x14ac:dyDescent="0.2">
      <c r="A53" s="1180" t="s">
        <v>541</v>
      </c>
      <c r="B53" s="1416" t="s">
        <v>4</v>
      </c>
      <c r="C53" s="653" t="s">
        <v>330</v>
      </c>
      <c r="D53" s="1417"/>
      <c r="E53" s="672" t="s">
        <v>75</v>
      </c>
      <c r="F53" s="672" t="s">
        <v>76</v>
      </c>
      <c r="G53" s="672" t="s">
        <v>77</v>
      </c>
      <c r="H53" s="1297" t="s">
        <v>327</v>
      </c>
      <c r="I53" s="666" t="s">
        <v>43</v>
      </c>
    </row>
    <row r="54" spans="1:9" x14ac:dyDescent="0.2">
      <c r="A54" s="145"/>
      <c r="B54" s="1174"/>
      <c r="C54" s="147"/>
      <c r="D54" s="169"/>
      <c r="E54" s="146"/>
      <c r="F54" s="146"/>
      <c r="G54" s="1978"/>
      <c r="H54" s="1542"/>
      <c r="I54" s="1436">
        <f>H54*G54</f>
        <v>0</v>
      </c>
    </row>
    <row r="55" spans="1:9" x14ac:dyDescent="0.2">
      <c r="A55" s="149"/>
      <c r="B55" s="162"/>
      <c r="C55" s="151"/>
      <c r="D55" s="170"/>
      <c r="E55" s="151"/>
      <c r="F55" s="150"/>
      <c r="G55" s="1979"/>
      <c r="H55" s="1543"/>
      <c r="I55" s="1436">
        <f t="shared" ref="I55:I63" si="3">H55*G55</f>
        <v>0</v>
      </c>
    </row>
    <row r="56" spans="1:9" x14ac:dyDescent="0.2">
      <c r="A56" s="149"/>
      <c r="B56" s="162"/>
      <c r="C56" s="151"/>
      <c r="D56" s="170"/>
      <c r="E56" s="151"/>
      <c r="F56" s="150"/>
      <c r="G56" s="1979"/>
      <c r="H56" s="1543"/>
      <c r="I56" s="1436">
        <f t="shared" si="3"/>
        <v>0</v>
      </c>
    </row>
    <row r="57" spans="1:9" x14ac:dyDescent="0.2">
      <c r="A57" s="149"/>
      <c r="B57" s="162"/>
      <c r="C57" s="151"/>
      <c r="D57" s="170"/>
      <c r="E57" s="151"/>
      <c r="F57" s="150"/>
      <c r="G57" s="1979"/>
      <c r="H57" s="1543"/>
      <c r="I57" s="1436">
        <f t="shared" si="3"/>
        <v>0</v>
      </c>
    </row>
    <row r="58" spans="1:9" x14ac:dyDescent="0.2">
      <c r="A58" s="149"/>
      <c r="B58" s="162"/>
      <c r="C58" s="151"/>
      <c r="D58" s="170"/>
      <c r="E58" s="151"/>
      <c r="F58" s="150"/>
      <c r="G58" s="1979"/>
      <c r="H58" s="1543"/>
      <c r="I58" s="1436">
        <f t="shared" si="3"/>
        <v>0</v>
      </c>
    </row>
    <row r="59" spans="1:9" x14ac:dyDescent="0.2">
      <c r="A59" s="149"/>
      <c r="B59" s="162"/>
      <c r="C59" s="151"/>
      <c r="D59" s="170"/>
      <c r="E59" s="151"/>
      <c r="F59" s="150"/>
      <c r="G59" s="1979"/>
      <c r="H59" s="1543"/>
      <c r="I59" s="1436">
        <f t="shared" si="3"/>
        <v>0</v>
      </c>
    </row>
    <row r="60" spans="1:9" x14ac:dyDescent="0.2">
      <c r="A60" s="149"/>
      <c r="B60" s="162"/>
      <c r="C60" s="151"/>
      <c r="D60" s="170"/>
      <c r="E60" s="151"/>
      <c r="F60" s="150"/>
      <c r="G60" s="1979"/>
      <c r="H60" s="1543"/>
      <c r="I60" s="1436">
        <f t="shared" si="3"/>
        <v>0</v>
      </c>
    </row>
    <row r="61" spans="1:9" x14ac:dyDescent="0.2">
      <c r="A61" s="149"/>
      <c r="B61" s="162"/>
      <c r="C61" s="151"/>
      <c r="D61" s="170"/>
      <c r="E61" s="151"/>
      <c r="F61" s="150"/>
      <c r="G61" s="1979"/>
      <c r="H61" s="1543"/>
      <c r="I61" s="1436">
        <f t="shared" si="3"/>
        <v>0</v>
      </c>
    </row>
    <row r="62" spans="1:9" x14ac:dyDescent="0.2">
      <c r="A62" s="149"/>
      <c r="B62" s="162"/>
      <c r="C62" s="151"/>
      <c r="D62" s="170"/>
      <c r="E62" s="151"/>
      <c r="F62" s="150"/>
      <c r="G62" s="1979"/>
      <c r="H62" s="1543"/>
      <c r="I62" s="1436">
        <f t="shared" si="3"/>
        <v>0</v>
      </c>
    </row>
    <row r="63" spans="1:9" ht="15.75" thickBot="1" x14ac:dyDescent="0.25">
      <c r="A63" s="1398"/>
      <c r="B63" s="1399"/>
      <c r="C63" s="166"/>
      <c r="D63" s="1418"/>
      <c r="E63" s="166"/>
      <c r="F63" s="1414"/>
      <c r="G63" s="1980"/>
      <c r="H63" s="1547"/>
      <c r="I63" s="1436">
        <f t="shared" si="3"/>
        <v>0</v>
      </c>
    </row>
    <row r="64" spans="1:9" ht="15.75" thickBot="1" x14ac:dyDescent="0.25">
      <c r="A64" s="1191"/>
      <c r="B64" s="1192"/>
      <c r="C64" s="1192"/>
      <c r="D64" s="1192"/>
      <c r="E64" s="1192"/>
      <c r="F64" s="1419"/>
      <c r="G64" s="1192"/>
      <c r="H64" s="1549" t="s">
        <v>606</v>
      </c>
      <c r="I64" s="1239">
        <f>SUM(I54:I63)</f>
        <v>0</v>
      </c>
    </row>
    <row r="65" spans="1:9" ht="16.5" thickTop="1" thickBot="1" x14ac:dyDescent="0.25">
      <c r="A65" s="164"/>
      <c r="B65" s="165"/>
      <c r="C65" s="165"/>
      <c r="D65" s="165"/>
      <c r="E65" s="165"/>
      <c r="F65" s="171"/>
      <c r="G65" s="165"/>
      <c r="H65" s="1977" t="s">
        <v>544</v>
      </c>
      <c r="I65" s="1462"/>
    </row>
    <row r="66" spans="1:9" x14ac:dyDescent="0.2">
      <c r="A66" s="1421"/>
      <c r="B66" s="1422"/>
      <c r="C66" s="1422"/>
      <c r="D66" s="1422"/>
      <c r="E66" s="1422"/>
      <c r="F66" s="1422"/>
      <c r="G66" s="1422"/>
      <c r="H66" s="1423" t="s">
        <v>607</v>
      </c>
      <c r="I66" s="1384">
        <f>I49+I64</f>
        <v>0</v>
      </c>
    </row>
    <row r="67" spans="1:9" ht="15.75" thickBot="1" x14ac:dyDescent="0.25">
      <c r="A67" s="174"/>
      <c r="B67" s="172"/>
      <c r="C67" s="172"/>
      <c r="D67" s="172"/>
      <c r="E67" s="172"/>
      <c r="F67" s="172"/>
      <c r="G67" s="172"/>
      <c r="H67" s="1424" t="s">
        <v>544</v>
      </c>
      <c r="I67" s="1425">
        <f>I50+I65</f>
        <v>0</v>
      </c>
    </row>
    <row r="68" spans="1:9" ht="15.75" thickTop="1" x14ac:dyDescent="0.2"/>
  </sheetData>
  <mergeCells count="1">
    <mergeCell ref="A3:C3"/>
  </mergeCells>
  <phoneticPr fontId="54" type="noConversion"/>
  <printOptions horizontalCentered="1"/>
  <pageMargins left="0.55118110236220474" right="0.55118110236220474" top="0.78740157480314965" bottom="0.78740157480314965" header="0.51181102362204722" footer="0.51181102362204722"/>
  <pageSetup paperSize="9" scale="68" orientation="portrait" r:id="rId1"/>
  <headerFooter alignWithMargins="0">
    <oddFooter>&amp;L&amp;8&amp;F Rev 1 of 310805&amp;C&amp;8&amp;A&amp;R&amp;8&amp;D</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enableFormatConditionsCalculation="0">
    <tabColor indexed="43"/>
  </sheetPr>
  <dimension ref="A1:J26"/>
  <sheetViews>
    <sheetView zoomScaleNormal="100" zoomScaleSheetLayoutView="100" workbookViewId="0">
      <selection activeCell="C11" sqref="C11:E11"/>
    </sheetView>
  </sheetViews>
  <sheetFormatPr defaultRowHeight="15" x14ac:dyDescent="0.2"/>
  <cols>
    <col min="1" max="1" width="6.77734375" customWidth="1"/>
    <col min="2" max="2" width="9.77734375" customWidth="1"/>
    <col min="5" max="5" width="10" customWidth="1"/>
    <col min="9" max="9" width="9" bestFit="1" customWidth="1"/>
    <col min="10" max="10" width="10.33203125" customWidth="1"/>
  </cols>
  <sheetData>
    <row r="1" spans="1:10" ht="19.5" thickTop="1" thickBot="1" x14ac:dyDescent="0.25">
      <c r="A1" s="1169" t="s">
        <v>79</v>
      </c>
      <c r="B1" s="249"/>
      <c r="C1" s="249"/>
      <c r="D1" s="249"/>
      <c r="E1" s="249"/>
      <c r="F1" s="249"/>
      <c r="G1" s="249"/>
      <c r="H1" s="249"/>
      <c r="I1" s="249"/>
      <c r="J1" s="1497"/>
    </row>
    <row r="2" spans="1:10" ht="16.5" thickTop="1" x14ac:dyDescent="0.2">
      <c r="A2" s="294" t="s">
        <v>161</v>
      </c>
      <c r="B2" s="60"/>
      <c r="C2" s="60"/>
      <c r="D2" s="60"/>
      <c r="E2" s="60"/>
      <c r="F2" s="60"/>
      <c r="G2" s="60"/>
      <c r="H2" s="60"/>
      <c r="I2" s="60"/>
      <c r="J2" s="614"/>
    </row>
    <row r="3" spans="1:10" ht="15.75" x14ac:dyDescent="0.2">
      <c r="A3" s="1372"/>
      <c r="C3" s="1484" t="s">
        <v>30</v>
      </c>
      <c r="D3" s="1170">
        <f>'Input Data'!D29</f>
        <v>0</v>
      </c>
      <c r="E3" s="60"/>
      <c r="F3" s="60"/>
      <c r="G3" s="175" t="s">
        <v>216</v>
      </c>
      <c r="H3" s="1485">
        <f>'Input Data'!D7</f>
        <v>0</v>
      </c>
      <c r="I3" s="613"/>
      <c r="J3" s="1496"/>
    </row>
    <row r="4" spans="1:10" ht="15.75" thickBot="1" x14ac:dyDescent="0.25">
      <c r="A4" s="176"/>
      <c r="B4" s="133"/>
      <c r="C4" s="133"/>
      <c r="D4" s="133"/>
      <c r="E4" s="133"/>
      <c r="F4" s="133"/>
      <c r="G4" s="133"/>
      <c r="H4" s="133"/>
      <c r="I4" s="133"/>
      <c r="J4" s="1217"/>
    </row>
    <row r="5" spans="1:10" ht="16.5" thickTop="1" thickBot="1" x14ac:dyDescent="0.25">
      <c r="A5" s="176"/>
      <c r="B5" s="133"/>
      <c r="C5" s="133"/>
      <c r="D5" s="133"/>
      <c r="E5" s="133"/>
      <c r="F5" s="133"/>
      <c r="G5" s="133"/>
      <c r="H5" s="133"/>
      <c r="I5" s="133"/>
      <c r="J5" s="136"/>
    </row>
    <row r="6" spans="1:10" ht="15.75" thickTop="1" x14ac:dyDescent="0.2">
      <c r="A6" s="1530"/>
      <c r="B6" s="60"/>
      <c r="C6" s="60"/>
      <c r="D6" s="60"/>
      <c r="E6" s="60"/>
      <c r="F6" s="60"/>
      <c r="G6" s="60"/>
      <c r="H6" s="60"/>
      <c r="I6" s="60"/>
      <c r="J6" s="27"/>
    </row>
    <row r="7" spans="1:10" x14ac:dyDescent="0.2">
      <c r="A7" s="177" t="s">
        <v>80</v>
      </c>
      <c r="B7" s="1181"/>
      <c r="C7" s="141"/>
      <c r="D7" s="141"/>
      <c r="E7" s="141"/>
      <c r="F7" s="141"/>
      <c r="G7" s="141"/>
      <c r="H7" s="141"/>
      <c r="I7" s="141"/>
      <c r="J7" s="142"/>
    </row>
    <row r="8" spans="1:10" ht="31.5" customHeight="1" x14ac:dyDescent="0.2">
      <c r="A8" s="1180" t="s">
        <v>541</v>
      </c>
      <c r="B8" s="1487" t="s">
        <v>4</v>
      </c>
      <c r="C8" s="1961" t="s">
        <v>623</v>
      </c>
      <c r="D8" s="1962"/>
      <c r="E8" s="1963"/>
      <c r="F8" s="1488" t="s">
        <v>81</v>
      </c>
      <c r="G8" s="1961" t="s">
        <v>330</v>
      </c>
      <c r="H8" s="1962"/>
      <c r="I8" s="1963"/>
      <c r="J8" s="1489" t="s">
        <v>43</v>
      </c>
    </row>
    <row r="9" spans="1:10" x14ac:dyDescent="0.2">
      <c r="A9" s="178"/>
      <c r="B9" s="1490"/>
      <c r="C9" s="1952"/>
      <c r="D9" s="1964"/>
      <c r="E9" s="1953"/>
      <c r="F9" s="179"/>
      <c r="G9" s="1952"/>
      <c r="H9" s="1964"/>
      <c r="I9" s="1953"/>
      <c r="J9" s="1551"/>
    </row>
    <row r="10" spans="1:10" x14ac:dyDescent="0.2">
      <c r="A10" s="149"/>
      <c r="B10" s="1483"/>
      <c r="C10" s="1954"/>
      <c r="D10" s="1960"/>
      <c r="E10" s="1955"/>
      <c r="F10" s="150"/>
      <c r="G10" s="1954"/>
      <c r="H10" s="1960"/>
      <c r="I10" s="1955"/>
      <c r="J10" s="180"/>
    </row>
    <row r="11" spans="1:10" x14ac:dyDescent="0.2">
      <c r="A11" s="149"/>
      <c r="B11" s="1483"/>
      <c r="C11" s="1954"/>
      <c r="D11" s="1960"/>
      <c r="E11" s="1955"/>
      <c r="F11" s="150"/>
      <c r="G11" s="1954"/>
      <c r="H11" s="1960"/>
      <c r="I11" s="1955"/>
      <c r="J11" s="180"/>
    </row>
    <row r="12" spans="1:10" x14ac:dyDescent="0.2">
      <c r="A12" s="149"/>
      <c r="B12" s="1483"/>
      <c r="C12" s="1954"/>
      <c r="D12" s="1960"/>
      <c r="E12" s="1955"/>
      <c r="F12" s="150"/>
      <c r="G12" s="1954"/>
      <c r="H12" s="1960"/>
      <c r="I12" s="1955"/>
      <c r="J12" s="180"/>
    </row>
    <row r="13" spans="1:10" x14ac:dyDescent="0.2">
      <c r="A13" s="149"/>
      <c r="B13" s="1483"/>
      <c r="C13" s="1954"/>
      <c r="D13" s="1960"/>
      <c r="E13" s="1955"/>
      <c r="F13" s="150"/>
      <c r="G13" s="1954"/>
      <c r="H13" s="1960"/>
      <c r="I13" s="1955"/>
      <c r="J13" s="180"/>
    </row>
    <row r="14" spans="1:10" x14ac:dyDescent="0.2">
      <c r="A14" s="149"/>
      <c r="B14" s="1483"/>
      <c r="C14" s="1954"/>
      <c r="D14" s="1960"/>
      <c r="E14" s="1955"/>
      <c r="F14" s="150"/>
      <c r="G14" s="1954"/>
      <c r="H14" s="1960"/>
      <c r="I14" s="1955"/>
      <c r="J14" s="180"/>
    </row>
    <row r="15" spans="1:10" x14ac:dyDescent="0.2">
      <c r="A15" s="149"/>
      <c r="B15" s="1483"/>
      <c r="C15" s="1954"/>
      <c r="D15" s="1960"/>
      <c r="E15" s="1955"/>
      <c r="F15" s="150"/>
      <c r="G15" s="1954"/>
      <c r="H15" s="1960"/>
      <c r="I15" s="1955"/>
      <c r="J15" s="180"/>
    </row>
    <row r="16" spans="1:10" x14ac:dyDescent="0.2">
      <c r="A16" s="149"/>
      <c r="B16" s="1483"/>
      <c r="C16" s="1954"/>
      <c r="D16" s="1960"/>
      <c r="E16" s="1955"/>
      <c r="F16" s="150"/>
      <c r="G16" s="1954"/>
      <c r="H16" s="1960"/>
      <c r="I16" s="1955"/>
      <c r="J16" s="180"/>
    </row>
    <row r="17" spans="1:10" x14ac:dyDescent="0.2">
      <c r="A17" s="149"/>
      <c r="B17" s="1483"/>
      <c r="C17" s="1954"/>
      <c r="D17" s="1960"/>
      <c r="E17" s="1955"/>
      <c r="F17" s="150"/>
      <c r="G17" s="1954"/>
      <c r="H17" s="1960"/>
      <c r="I17" s="1955"/>
      <c r="J17" s="180"/>
    </row>
    <row r="18" spans="1:10" ht="15.75" thickBot="1" x14ac:dyDescent="0.25">
      <c r="A18" s="181"/>
      <c r="B18" s="1486"/>
      <c r="C18" s="1956"/>
      <c r="D18" s="1965"/>
      <c r="E18" s="1957"/>
      <c r="F18" s="182"/>
      <c r="G18" s="1956"/>
      <c r="H18" s="1965"/>
      <c r="I18" s="1957"/>
      <c r="J18" s="1552"/>
    </row>
    <row r="19" spans="1:10" x14ac:dyDescent="0.2">
      <c r="A19" s="1191"/>
      <c r="B19" s="1192"/>
      <c r="C19" s="1192"/>
      <c r="D19" s="1192"/>
      <c r="E19" s="1192"/>
      <c r="F19" s="1192"/>
      <c r="G19" s="206"/>
      <c r="H19" s="206"/>
      <c r="I19" s="157" t="s">
        <v>622</v>
      </c>
      <c r="J19" s="1199">
        <f>SUM(J9:J18)</f>
        <v>0</v>
      </c>
    </row>
    <row r="20" spans="1:10" ht="15.75" thickBot="1" x14ac:dyDescent="0.25">
      <c r="A20" s="158"/>
      <c r="B20" s="60"/>
      <c r="C20" s="60"/>
      <c r="D20" s="60"/>
      <c r="E20" s="60"/>
      <c r="F20" s="60"/>
      <c r="G20" s="60"/>
      <c r="H20" s="60"/>
      <c r="I20" s="1463" t="s">
        <v>318</v>
      </c>
      <c r="J20" s="1553"/>
    </row>
    <row r="21" spans="1:10" ht="15.75" thickBot="1" x14ac:dyDescent="0.25">
      <c r="A21" s="158"/>
      <c r="B21" s="60"/>
      <c r="C21" s="60"/>
      <c r="D21" s="60"/>
      <c r="E21" s="60"/>
      <c r="F21" s="60"/>
      <c r="G21" s="60"/>
      <c r="H21" s="60"/>
      <c r="I21" s="1420" t="s">
        <v>319</v>
      </c>
      <c r="J21" s="1554">
        <f>J19-J20</f>
        <v>0</v>
      </c>
    </row>
    <row r="22" spans="1:10" x14ac:dyDescent="0.2">
      <c r="A22" s="1491" t="s">
        <v>84</v>
      </c>
      <c r="B22" s="1492"/>
      <c r="C22" s="1469"/>
      <c r="D22" s="1469"/>
      <c r="E22" s="1469"/>
      <c r="F22" s="1469"/>
      <c r="G22" s="1469"/>
      <c r="H22" s="1469"/>
      <c r="I22" s="1469"/>
      <c r="J22" s="1493"/>
    </row>
    <row r="23" spans="1:10" ht="27" customHeight="1" x14ac:dyDescent="0.2">
      <c r="A23" s="137" t="s">
        <v>85</v>
      </c>
      <c r="B23" s="1482"/>
      <c r="C23" s="60" t="s">
        <v>82</v>
      </c>
      <c r="D23" s="60"/>
      <c r="E23" s="1482" t="s">
        <v>86</v>
      </c>
      <c r="F23" s="60" t="s">
        <v>83</v>
      </c>
      <c r="G23" s="1482"/>
      <c r="H23" s="183" t="s">
        <v>87</v>
      </c>
      <c r="I23" s="60"/>
      <c r="J23" s="1494"/>
    </row>
    <row r="24" spans="1:10" x14ac:dyDescent="0.2">
      <c r="A24" s="137" t="s">
        <v>88</v>
      </c>
      <c r="B24" s="1482"/>
      <c r="C24" s="60" t="s">
        <v>89</v>
      </c>
      <c r="D24" s="60"/>
      <c r="E24" s="1482" t="s">
        <v>90</v>
      </c>
      <c r="F24" s="60" t="s">
        <v>91</v>
      </c>
      <c r="G24" s="1482"/>
      <c r="H24" s="1482" t="s">
        <v>92</v>
      </c>
      <c r="I24" s="60"/>
      <c r="J24" s="1494"/>
    </row>
    <row r="25" spans="1:10" ht="15.75" thickBot="1" x14ac:dyDescent="0.25">
      <c r="A25" s="176"/>
      <c r="B25" s="133"/>
      <c r="C25" s="133"/>
      <c r="D25" s="133"/>
      <c r="E25" s="133"/>
      <c r="F25" s="133"/>
      <c r="G25" s="133"/>
      <c r="H25" s="133"/>
      <c r="I25" s="133"/>
      <c r="J25" s="1495"/>
    </row>
    <row r="26" spans="1:10" ht="15.75" thickTop="1" x14ac:dyDescent="0.2"/>
  </sheetData>
  <mergeCells count="22">
    <mergeCell ref="C17:E17"/>
    <mergeCell ref="G17:I17"/>
    <mergeCell ref="C18:E18"/>
    <mergeCell ref="G18:I18"/>
    <mergeCell ref="C14:E14"/>
    <mergeCell ref="G14:I14"/>
    <mergeCell ref="C15:E15"/>
    <mergeCell ref="G15:I15"/>
    <mergeCell ref="C16:E16"/>
    <mergeCell ref="G16:I16"/>
    <mergeCell ref="C8:E8"/>
    <mergeCell ref="G8:I8"/>
    <mergeCell ref="C9:E9"/>
    <mergeCell ref="G9:I9"/>
    <mergeCell ref="C10:E10"/>
    <mergeCell ref="G10:I10"/>
    <mergeCell ref="C11:E11"/>
    <mergeCell ref="G11:I11"/>
    <mergeCell ref="C12:E12"/>
    <mergeCell ref="G12:I12"/>
    <mergeCell ref="C13:E13"/>
    <mergeCell ref="G13:I13"/>
  </mergeCells>
  <phoneticPr fontId="54" type="noConversion"/>
  <printOptions horizontalCentered="1"/>
  <pageMargins left="0.55118110236220474" right="0.55118110236220474" top="0.78740157480314965" bottom="0.78740157480314965" header="0.51181102362204722" footer="0.51181102362204722"/>
  <pageSetup paperSize="9" scale="93" orientation="portrait" horizontalDpi="300" verticalDpi="300" r:id="rId1"/>
  <headerFooter alignWithMargins="0">
    <oddFooter>&amp;L&amp;8&amp;F Rev 1 of 310805&amp;C&amp;8&amp;A&amp;R&amp;8&amp;D</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enableFormatConditionsCalculation="0">
    <tabColor indexed="43"/>
  </sheetPr>
  <dimension ref="A1:I113"/>
  <sheetViews>
    <sheetView tabSelected="1" zoomScale="75" zoomScaleNormal="75" zoomScaleSheetLayoutView="70" workbookViewId="0">
      <selection activeCell="D7" sqref="D7"/>
    </sheetView>
  </sheetViews>
  <sheetFormatPr defaultRowHeight="15" x14ac:dyDescent="0.2"/>
  <cols>
    <col min="1" max="1" width="16.33203125" customWidth="1"/>
    <col min="2" max="2" width="3.88671875" customWidth="1"/>
    <col min="3" max="3" width="7.6640625" customWidth="1"/>
    <col min="4" max="4" width="27" customWidth="1"/>
    <col min="5" max="5" width="18.6640625" customWidth="1"/>
    <col min="6" max="6" width="17.5546875" customWidth="1"/>
    <col min="7" max="7" width="17.21875" customWidth="1"/>
    <col min="8" max="8" width="16" customWidth="1"/>
    <col min="9" max="9" width="2.88671875" customWidth="1"/>
  </cols>
  <sheetData>
    <row r="1" spans="1:9" ht="51.75" customHeight="1" thickTop="1" thickBot="1" x14ac:dyDescent="0.25">
      <c r="A1" s="1595" t="s">
        <v>527</v>
      </c>
      <c r="B1" s="1596"/>
      <c r="C1" s="1596"/>
      <c r="D1" s="1596"/>
      <c r="E1" s="1596"/>
      <c r="F1" s="1596"/>
      <c r="G1" s="1596"/>
      <c r="H1" s="1597"/>
      <c r="I1" s="3"/>
    </row>
    <row r="2" spans="1:9" ht="24.75" customHeight="1" thickTop="1" x14ac:dyDescent="0.2">
      <c r="A2" s="1620"/>
      <c r="B2" s="1621"/>
      <c r="C2" s="1621"/>
      <c r="D2" s="1621"/>
      <c r="E2" s="1606" t="s">
        <v>132</v>
      </c>
      <c r="F2" s="1607"/>
      <c r="G2" s="1607"/>
      <c r="H2" s="1608"/>
      <c r="I2" s="3"/>
    </row>
    <row r="3" spans="1:9" ht="27" customHeight="1" x14ac:dyDescent="0.2">
      <c r="A3" s="1622"/>
      <c r="B3" s="1621"/>
      <c r="C3" s="1621"/>
      <c r="D3" s="1621"/>
      <c r="E3" s="1609"/>
      <c r="F3" s="1609"/>
      <c r="G3" s="1609"/>
      <c r="H3" s="1608"/>
      <c r="I3" s="2"/>
    </row>
    <row r="4" spans="1:9" ht="27.75" customHeight="1" x14ac:dyDescent="0.2">
      <c r="A4" s="158"/>
      <c r="B4" s="479"/>
      <c r="C4" s="479"/>
      <c r="D4" s="479"/>
      <c r="E4" s="1598" t="str">
        <f>CONCATENATE(D10,": ",D21," NDPW FEES")</f>
        <v>MULTIDISCIPLINARY PROJECT: 2012 NDPW FEES</v>
      </c>
      <c r="F4" s="1599"/>
      <c r="G4" s="1599"/>
      <c r="H4" s="1600"/>
      <c r="I4" s="2"/>
    </row>
    <row r="5" spans="1:9" ht="10.5" customHeight="1" thickBot="1" x14ac:dyDescent="0.25">
      <c r="A5" s="478"/>
      <c r="B5" s="479"/>
      <c r="C5" s="479"/>
      <c r="D5" s="479"/>
      <c r="E5" s="468"/>
      <c r="F5" s="469"/>
      <c r="G5" s="469"/>
      <c r="H5" s="1464" t="s">
        <v>624</v>
      </c>
      <c r="I5" s="2"/>
    </row>
    <row r="6" spans="1:9" ht="16.5" thickTop="1" x14ac:dyDescent="0.2">
      <c r="A6" s="401"/>
      <c r="B6" s="388"/>
      <c r="C6" s="389" t="s">
        <v>208</v>
      </c>
      <c r="D6" s="548"/>
      <c r="E6" s="549"/>
      <c r="F6" s="550" t="s">
        <v>207</v>
      </c>
      <c r="G6" s="1627"/>
      <c r="H6" s="1628"/>
      <c r="I6" s="3"/>
    </row>
    <row r="7" spans="1:9" x14ac:dyDescent="0.2">
      <c r="A7" s="402"/>
      <c r="B7" s="31"/>
      <c r="C7" s="390" t="s">
        <v>214</v>
      </c>
      <c r="D7" s="551"/>
      <c r="E7" s="552"/>
      <c r="F7" s="430" t="s">
        <v>179</v>
      </c>
      <c r="G7" s="547"/>
      <c r="H7" s="553"/>
      <c r="I7" s="2"/>
    </row>
    <row r="8" spans="1:9" x14ac:dyDescent="0.2">
      <c r="A8" s="402"/>
      <c r="B8" s="31"/>
      <c r="C8" s="390" t="s">
        <v>225</v>
      </c>
      <c r="D8" s="554"/>
      <c r="E8" s="552"/>
      <c r="F8" s="189" t="s">
        <v>199</v>
      </c>
      <c r="G8" s="547"/>
      <c r="H8" s="553"/>
      <c r="I8" s="2"/>
    </row>
    <row r="9" spans="1:9" x14ac:dyDescent="0.2">
      <c r="A9" s="402"/>
      <c r="B9" s="31"/>
      <c r="C9" s="390" t="s">
        <v>168</v>
      </c>
      <c r="D9" s="555"/>
      <c r="E9" s="552"/>
      <c r="F9" s="399" t="s">
        <v>190</v>
      </c>
      <c r="G9" s="547"/>
      <c r="H9" s="556"/>
      <c r="I9" s="2"/>
    </row>
    <row r="10" spans="1:9" ht="15.75" customHeight="1" x14ac:dyDescent="0.2">
      <c r="A10" s="402"/>
      <c r="B10" s="31"/>
      <c r="C10" s="250" t="s">
        <v>99</v>
      </c>
      <c r="D10" s="475" t="s">
        <v>354</v>
      </c>
      <c r="E10" s="476" t="str">
        <f>IF(D10="MULTIDISCIPLINARY PROJECT","B","E")</f>
        <v>B</v>
      </c>
      <c r="F10" s="366" t="s">
        <v>189</v>
      </c>
      <c r="G10" s="1629"/>
      <c r="H10" s="1630"/>
      <c r="I10" s="2"/>
    </row>
    <row r="11" spans="1:9" ht="15.75" customHeight="1" x14ac:dyDescent="0.2">
      <c r="A11" s="688"/>
      <c r="B11" s="689"/>
      <c r="C11" s="711" t="s">
        <v>342</v>
      </c>
      <c r="D11" s="712" t="s">
        <v>625</v>
      </c>
      <c r="E11" s="713" t="str">
        <f>IF($D$11="Yes", "NO OF DAYS","")</f>
        <v/>
      </c>
      <c r="F11" s="714">
        <v>1</v>
      </c>
      <c r="G11" s="715" t="str">
        <f>IF($D$11="Yes", "RATE","")</f>
        <v/>
      </c>
      <c r="H11" s="716"/>
      <c r="I11" s="2"/>
    </row>
    <row r="12" spans="1:9" ht="15.75" thickBot="1" x14ac:dyDescent="0.25">
      <c r="A12" s="685"/>
      <c r="B12" s="686"/>
      <c r="C12" s="687" t="s">
        <v>96</v>
      </c>
      <c r="D12" s="1558"/>
      <c r="E12" s="1559"/>
      <c r="F12" s="1559"/>
      <c r="G12" s="1559"/>
      <c r="H12" s="1560"/>
      <c r="I12" s="2"/>
    </row>
    <row r="13" spans="1:9" ht="15.75" thickTop="1" x14ac:dyDescent="0.2">
      <c r="A13" s="682"/>
      <c r="B13" s="683"/>
      <c r="C13" s="684" t="s">
        <v>217</v>
      </c>
      <c r="D13" s="1555"/>
      <c r="E13" s="1556"/>
      <c r="F13" s="1556"/>
      <c r="G13" s="1556"/>
      <c r="H13" s="1557"/>
      <c r="I13" s="2"/>
    </row>
    <row r="14" spans="1:9" ht="18" customHeight="1" x14ac:dyDescent="0.2">
      <c r="A14" s="402"/>
      <c r="B14" s="31"/>
      <c r="C14" s="390" t="s">
        <v>134</v>
      </c>
      <c r="D14" s="1631"/>
      <c r="E14" s="1632"/>
      <c r="F14" s="1632"/>
      <c r="G14" s="557" t="s">
        <v>194</v>
      </c>
      <c r="H14" s="558"/>
      <c r="I14" s="2"/>
    </row>
    <row r="15" spans="1:9" ht="18" customHeight="1" x14ac:dyDescent="0.2">
      <c r="A15" s="402"/>
      <c r="B15" s="31"/>
      <c r="C15" s="390" t="s">
        <v>261</v>
      </c>
      <c r="D15" s="1625"/>
      <c r="E15" s="1626"/>
      <c r="F15" s="1626"/>
      <c r="G15" s="557" t="s">
        <v>194</v>
      </c>
      <c r="H15" s="559"/>
      <c r="I15" s="2"/>
    </row>
    <row r="16" spans="1:9" ht="17.25" customHeight="1" x14ac:dyDescent="0.2">
      <c r="A16" s="402"/>
      <c r="B16" s="30"/>
      <c r="C16" s="390" t="s">
        <v>130</v>
      </c>
      <c r="D16" s="1528"/>
      <c r="E16" s="560" t="s">
        <v>195</v>
      </c>
      <c r="F16" s="362"/>
      <c r="G16" s="561" t="s">
        <v>312</v>
      </c>
      <c r="H16" s="403"/>
      <c r="I16" s="2"/>
    </row>
    <row r="17" spans="1:9" ht="17.25" customHeight="1" thickBot="1" x14ac:dyDescent="0.25">
      <c r="A17" s="402"/>
      <c r="B17" s="30"/>
      <c r="C17" s="390" t="s">
        <v>189</v>
      </c>
      <c r="D17" s="1623"/>
      <c r="E17" s="1624"/>
      <c r="F17" s="562"/>
      <c r="G17" s="189"/>
      <c r="H17" s="563"/>
      <c r="I17" s="2"/>
    </row>
    <row r="18" spans="1:9" ht="15.75" thickTop="1" x14ac:dyDescent="0.2">
      <c r="A18" s="402"/>
      <c r="B18" s="31"/>
      <c r="C18" s="390" t="s">
        <v>93</v>
      </c>
      <c r="D18" s="398"/>
      <c r="E18" s="542">
        <f>IF(D18="none", "none",1)</f>
        <v>1</v>
      </c>
      <c r="F18" s="504"/>
      <c r="G18" s="1614" t="s">
        <v>209</v>
      </c>
      <c r="H18" s="1615"/>
      <c r="I18" s="3"/>
    </row>
    <row r="19" spans="1:9" x14ac:dyDescent="0.2">
      <c r="A19" s="402"/>
      <c r="B19" s="31"/>
      <c r="C19" s="390" t="s">
        <v>127</v>
      </c>
      <c r="D19" s="397"/>
      <c r="E19" s="541" t="str">
        <f>IF(D19="","&lt;--ERROR","")</f>
        <v>&lt;--ERROR</v>
      </c>
      <c r="F19" s="505" t="s">
        <v>178</v>
      </c>
      <c r="G19" s="1616"/>
      <c r="H19" s="1617"/>
      <c r="I19" s="3"/>
    </row>
    <row r="20" spans="1:9" ht="15.75" x14ac:dyDescent="0.2">
      <c r="A20" s="402"/>
      <c r="B20" s="391"/>
      <c r="C20" s="390" t="s">
        <v>28</v>
      </c>
      <c r="D20" s="473"/>
      <c r="E20" s="474"/>
      <c r="F20" s="506"/>
      <c r="G20" s="1618"/>
      <c r="H20" s="1619"/>
      <c r="I20" s="3"/>
    </row>
    <row r="21" spans="1:9" ht="15.75" x14ac:dyDescent="0.2">
      <c r="A21" s="404"/>
      <c r="B21" s="392"/>
      <c r="C21" s="393" t="s">
        <v>131</v>
      </c>
      <c r="D21" s="543">
        <v>2012</v>
      </c>
      <c r="E21" s="803">
        <f>IF(D21=2010,0,IF(D21=2011,1,IF(D21=2012,2)))</f>
        <v>2</v>
      </c>
      <c r="F21" s="380" t="s">
        <v>174</v>
      </c>
      <c r="G21" s="1592"/>
      <c r="H21" s="1593"/>
      <c r="I21" s="3"/>
    </row>
    <row r="22" spans="1:9" ht="27" customHeight="1" x14ac:dyDescent="0.2">
      <c r="A22" s="1639" t="s">
        <v>356</v>
      </c>
      <c r="B22" s="1640"/>
      <c r="C22" s="1640"/>
      <c r="D22" s="1640"/>
      <c r="E22" s="1641"/>
      <c r="F22" s="386" t="s">
        <v>175</v>
      </c>
      <c r="G22" s="1592"/>
      <c r="H22" s="1593"/>
      <c r="I22" s="3"/>
    </row>
    <row r="23" spans="1:9" x14ac:dyDescent="0.2">
      <c r="A23" s="1642"/>
      <c r="B23" s="1643"/>
      <c r="C23" s="1643"/>
      <c r="D23" s="1643"/>
      <c r="E23" s="1644"/>
      <c r="F23" s="386" t="s">
        <v>176</v>
      </c>
      <c r="G23" s="1605"/>
      <c r="H23" s="1593"/>
      <c r="I23" s="3"/>
    </row>
    <row r="24" spans="1:9" x14ac:dyDescent="0.2">
      <c r="A24" s="1642"/>
      <c r="B24" s="1643"/>
      <c r="C24" s="1643"/>
      <c r="D24" s="1643"/>
      <c r="E24" s="1644"/>
      <c r="F24" s="386" t="s">
        <v>93</v>
      </c>
      <c r="G24" s="1645" t="s">
        <v>295</v>
      </c>
      <c r="H24" s="1646"/>
      <c r="I24" s="3"/>
    </row>
    <row r="25" spans="1:9" ht="19.5" customHeight="1" x14ac:dyDescent="0.2">
      <c r="A25" s="1642"/>
      <c r="B25" s="1643"/>
      <c r="C25" s="1643"/>
      <c r="D25" s="1643"/>
      <c r="E25" s="1644"/>
      <c r="F25" s="386" t="s">
        <v>260</v>
      </c>
      <c r="G25" s="1592"/>
      <c r="H25" s="1593"/>
      <c r="I25" s="3"/>
    </row>
    <row r="26" spans="1:9" ht="15.75" x14ac:dyDescent="0.2">
      <c r="A26" s="293" t="s">
        <v>29</v>
      </c>
      <c r="B26" s="248"/>
      <c r="C26" s="29"/>
      <c r="D26" s="507" t="str">
        <f>IF(H39&lt;H46,"PERCENTAGE BASED FEES","TIME BASED FEES")</f>
        <v>TIME BASED FEES</v>
      </c>
      <c r="E26" s="24"/>
      <c r="F26" s="381" t="s">
        <v>193</v>
      </c>
      <c r="G26" s="1592"/>
      <c r="H26" s="1593"/>
      <c r="I26" s="3"/>
    </row>
    <row r="27" spans="1:9" ht="18" x14ac:dyDescent="0.2">
      <c r="A27" s="239" t="s">
        <v>164</v>
      </c>
      <c r="B27" s="240"/>
      <c r="C27" s="241"/>
      <c r="D27" s="482">
        <v>100</v>
      </c>
      <c r="E27" s="24" t="s">
        <v>226</v>
      </c>
      <c r="F27" s="381" t="s">
        <v>192</v>
      </c>
      <c r="G27" s="1592"/>
      <c r="H27" s="1593"/>
      <c r="I27" s="3"/>
    </row>
    <row r="28" spans="1:9" ht="15.75" x14ac:dyDescent="0.2">
      <c r="A28" s="405"/>
      <c r="B28" s="406"/>
      <c r="C28" s="394" t="s">
        <v>107</v>
      </c>
      <c r="D28" s="564"/>
      <c r="E28" s="24"/>
      <c r="F28" s="382" t="s">
        <v>194</v>
      </c>
      <c r="G28" s="1605"/>
      <c r="H28" s="1647"/>
      <c r="I28" s="3"/>
    </row>
    <row r="29" spans="1:9" ht="15.75" x14ac:dyDescent="0.2">
      <c r="A29" s="407"/>
      <c r="B29" s="395"/>
      <c r="C29" s="390" t="s">
        <v>612</v>
      </c>
      <c r="D29" s="1437"/>
      <c r="E29" s="24"/>
      <c r="F29" s="383" t="s">
        <v>179</v>
      </c>
      <c r="G29" s="1594"/>
      <c r="H29" s="1593"/>
      <c r="I29" s="3"/>
    </row>
    <row r="30" spans="1:9" ht="15.75" x14ac:dyDescent="0.2">
      <c r="A30" s="407"/>
      <c r="B30" s="395"/>
      <c r="C30" s="390" t="s">
        <v>262</v>
      </c>
      <c r="D30" s="398"/>
      <c r="E30" s="24"/>
      <c r="F30" s="384" t="s">
        <v>180</v>
      </c>
      <c r="G30" s="1594"/>
      <c r="H30" s="1593"/>
      <c r="I30" s="3"/>
    </row>
    <row r="31" spans="1:9" ht="16.5" thickBot="1" x14ac:dyDescent="0.25">
      <c r="A31" s="407"/>
      <c r="B31" s="395"/>
      <c r="C31" s="390" t="s">
        <v>20</v>
      </c>
      <c r="D31" s="398"/>
      <c r="E31" s="24"/>
      <c r="F31" s="385" t="s">
        <v>181</v>
      </c>
      <c r="G31" s="1558"/>
      <c r="H31" s="1654"/>
      <c r="I31" s="3"/>
    </row>
    <row r="32" spans="1:9" ht="15.75" thickTop="1" x14ac:dyDescent="0.2">
      <c r="A32" s="407"/>
      <c r="B32" s="396"/>
      <c r="C32" s="390" t="str">
        <f>IF(F32=1,"STAGE COMPLETED",IF(F32=5,"STAGE COMPLETED","STAGE"))</f>
        <v>STAGE COMPLETED</v>
      </c>
      <c r="D32" s="1648" t="s">
        <v>626</v>
      </c>
      <c r="E32" s="1649"/>
      <c r="F32" s="797">
        <f>IF(D32="INCEPTION",1,IF(D32="PRELIMINARY DESIGN: CONCEPT &amp; VIABILITY",2,IF(D32="DETAIL DESIGN &amp; DOCUMENTATION &amp; PROCUREMENT",3,IF(D32="CONTRACT ADMINISTRATION &amp; INSPECTION",4,IF(D32="CLOSE-OUT",5)))))</f>
        <v>1</v>
      </c>
      <c r="G32" s="60"/>
      <c r="H32" s="27"/>
      <c r="I32" s="3"/>
    </row>
    <row r="33" spans="1:9" ht="16.5" x14ac:dyDescent="0.2">
      <c r="A33" s="407"/>
      <c r="B33" s="396"/>
      <c r="C33" s="717" t="str">
        <f>IF(F32=1,"N/A",IF(F32&gt;3,"N/A","PERCENTAGE OF STAGE COMPLETED"))</f>
        <v>N/A</v>
      </c>
      <c r="D33" s="718">
        <v>1</v>
      </c>
      <c r="E33" s="798" t="s">
        <v>345</v>
      </c>
      <c r="F33" s="799"/>
      <c r="G33" s="800"/>
      <c r="H33" s="801"/>
      <c r="I33" s="3"/>
    </row>
    <row r="34" spans="1:9" ht="15.75" x14ac:dyDescent="0.2">
      <c r="A34" s="407"/>
      <c r="B34" s="395"/>
      <c r="C34" s="390" t="s">
        <v>149</v>
      </c>
      <c r="D34" s="284" t="s">
        <v>129</v>
      </c>
      <c r="E34" s="24"/>
      <c r="F34" s="60"/>
      <c r="G34" s="60"/>
      <c r="H34" s="27"/>
      <c r="I34" s="3"/>
    </row>
    <row r="35" spans="1:9" ht="15.75" x14ac:dyDescent="0.2">
      <c r="A35" s="184"/>
      <c r="B35" s="1151"/>
      <c r="C35" s="1151" t="s">
        <v>357</v>
      </c>
      <c r="D35" s="1438"/>
      <c r="E35" s="24"/>
      <c r="F35" s="60"/>
      <c r="G35" s="60"/>
      <c r="H35" s="27"/>
      <c r="I35" s="3"/>
    </row>
    <row r="36" spans="1:9" x14ac:dyDescent="0.2">
      <c r="A36" s="1633" t="s">
        <v>264</v>
      </c>
      <c r="B36" s="1634"/>
      <c r="C36" s="1634"/>
      <c r="D36" s="1634"/>
      <c r="E36" s="1635"/>
      <c r="F36" s="59" t="s">
        <v>129</v>
      </c>
      <c r="G36" s="213" t="s">
        <v>206</v>
      </c>
      <c r="H36" s="387">
        <f>IF(F36="Y",1,0.75)</f>
        <v>0.75</v>
      </c>
      <c r="I36" s="3"/>
    </row>
    <row r="37" spans="1:9" x14ac:dyDescent="0.2">
      <c r="A37" s="1602" t="s">
        <v>147</v>
      </c>
      <c r="B37" s="1603"/>
      <c r="C37" s="1603"/>
      <c r="D37" s="1603"/>
      <c r="E37" s="1604"/>
      <c r="F37" s="59" t="s">
        <v>129</v>
      </c>
      <c r="G37" s="60"/>
      <c r="H37" s="27"/>
      <c r="I37" s="3"/>
    </row>
    <row r="38" spans="1:9" x14ac:dyDescent="0.2">
      <c r="A38" s="1602" t="s">
        <v>115</v>
      </c>
      <c r="B38" s="1603"/>
      <c r="C38" s="1603"/>
      <c r="D38" s="1603"/>
      <c r="E38" s="1604"/>
      <c r="F38" s="59" t="s">
        <v>129</v>
      </c>
      <c r="G38" s="13"/>
      <c r="H38" s="614"/>
      <c r="I38" s="3"/>
    </row>
    <row r="39" spans="1:9" ht="15.75" thickBot="1" x14ac:dyDescent="0.25">
      <c r="A39" s="1636" t="s">
        <v>116</v>
      </c>
      <c r="B39" s="1637"/>
      <c r="C39" s="1637"/>
      <c r="D39" s="1637"/>
      <c r="E39" s="1638"/>
      <c r="F39" s="59" t="s">
        <v>129</v>
      </c>
      <c r="G39" s="324"/>
      <c r="H39" s="1536">
        <f>Scales!C3</f>
        <v>512000</v>
      </c>
      <c r="I39" s="3"/>
    </row>
    <row r="40" spans="1:9" ht="69.75" customHeight="1" thickTop="1" thickBot="1" x14ac:dyDescent="0.25">
      <c r="A40" s="1590" t="s">
        <v>306</v>
      </c>
      <c r="B40" s="1591"/>
      <c r="C40" s="1591"/>
      <c r="D40" s="1591"/>
      <c r="E40" s="677" t="s">
        <v>268</v>
      </c>
      <c r="F40" s="1612" t="s">
        <v>269</v>
      </c>
      <c r="G40" s="1652" t="s">
        <v>270</v>
      </c>
      <c r="H40" s="1650" t="s">
        <v>102</v>
      </c>
      <c r="I40" s="4"/>
    </row>
    <row r="41" spans="1:9" ht="21.75" customHeight="1" thickBot="1" x14ac:dyDescent="0.25">
      <c r="A41" s="1610" t="s">
        <v>151</v>
      </c>
      <c r="B41" s="1611"/>
      <c r="C41" s="1611"/>
      <c r="D41" s="678" t="s">
        <v>254</v>
      </c>
      <c r="E41" s="679">
        <f>IF($F$32&lt;3,1,IF($D$41="TENDER VALUES",2,1))</f>
        <v>1</v>
      </c>
      <c r="F41" s="1613"/>
      <c r="G41" s="1653"/>
      <c r="H41" s="1651"/>
      <c r="I41" s="4"/>
    </row>
    <row r="42" spans="1:9" ht="44.25" customHeight="1" x14ac:dyDescent="0.2">
      <c r="A42" s="1581" t="s">
        <v>148</v>
      </c>
      <c r="B42" s="1583"/>
      <c r="C42" s="1583"/>
      <c r="D42" s="1583"/>
      <c r="E42" s="779">
        <v>0</v>
      </c>
      <c r="F42" s="779">
        <v>0</v>
      </c>
      <c r="G42" s="779">
        <v>0</v>
      </c>
      <c r="H42" s="453">
        <f>IF($F$32&lt;4,E42,IF($F$32=4,F42,IF($F$32=5,G42)))</f>
        <v>0</v>
      </c>
      <c r="I42" s="4"/>
    </row>
    <row r="43" spans="1:9" ht="30.75" customHeight="1" x14ac:dyDescent="0.2">
      <c r="A43" s="1588" t="s">
        <v>103</v>
      </c>
      <c r="B43" s="1589"/>
      <c r="C43" s="1589"/>
      <c r="D43" s="1589"/>
      <c r="E43" s="780">
        <v>0</v>
      </c>
      <c r="F43" s="780">
        <v>0</v>
      </c>
      <c r="G43" s="780">
        <v>0</v>
      </c>
      <c r="H43" s="454">
        <f>IF($F$32&lt;4,E43,IF($F$32=4,F43,IF($F$32=5,G43)))</f>
        <v>0</v>
      </c>
    </row>
    <row r="44" spans="1:9" ht="30.75" customHeight="1" x14ac:dyDescent="0.2">
      <c r="A44" s="1588" t="s">
        <v>104</v>
      </c>
      <c r="B44" s="1601"/>
      <c r="C44" s="1601"/>
      <c r="D44" s="1601"/>
      <c r="E44" s="780">
        <v>0</v>
      </c>
      <c r="F44" s="780">
        <v>0</v>
      </c>
      <c r="G44" s="780">
        <v>0</v>
      </c>
      <c r="H44" s="454">
        <f>IF($F$32&lt;4,E44,IF($F$32=4,F44,IF($F$32=5,G44)))</f>
        <v>0</v>
      </c>
    </row>
    <row r="45" spans="1:9" ht="39.75" customHeight="1" thickBot="1" x14ac:dyDescent="0.25">
      <c r="A45" s="1563" t="s">
        <v>141</v>
      </c>
      <c r="B45" s="1564"/>
      <c r="C45" s="1564"/>
      <c r="D45" s="1564"/>
      <c r="E45" s="780">
        <v>0</v>
      </c>
      <c r="F45" s="780">
        <v>0</v>
      </c>
      <c r="G45" s="780">
        <v>0</v>
      </c>
      <c r="H45" s="455">
        <f>IF($F$32&lt;4,E45,IF($F$32=4,F45,IF($F$32=5,G45)))</f>
        <v>0</v>
      </c>
    </row>
    <row r="46" spans="1:9" ht="33.75" customHeight="1" thickBot="1" x14ac:dyDescent="0.25">
      <c r="A46" s="1567" t="s">
        <v>154</v>
      </c>
      <c r="B46" s="1568"/>
      <c r="C46" s="1568"/>
      <c r="D46" s="1568"/>
      <c r="E46" s="774">
        <f>SUM(E42:E45)</f>
        <v>0</v>
      </c>
      <c r="F46" s="774">
        <f>SUM(F42:F45)</f>
        <v>0</v>
      </c>
      <c r="G46" s="775">
        <f>SUM(G42:G45)</f>
        <v>0</v>
      </c>
      <c r="H46" s="456">
        <f>SUM(H42:H45)</f>
        <v>0</v>
      </c>
    </row>
    <row r="47" spans="1:9" ht="27" customHeight="1" thickTop="1" thickBot="1" x14ac:dyDescent="0.25">
      <c r="A47" s="1569" t="str">
        <f>IF($F$32=5,IF(H46=H52,"","THE VALUE OF ( C) MUST BE THE SAME AS (D)"),"")</f>
        <v/>
      </c>
      <c r="B47" s="1570"/>
      <c r="C47" s="1570"/>
      <c r="D47" s="1570"/>
      <c r="E47" s="1571"/>
      <c r="F47" s="680"/>
      <c r="G47" s="10" t="str">
        <f>IF($F$32=5,IF($H$48=$H$53,"","ERROR"),"")</f>
        <v/>
      </c>
      <c r="H47" s="457"/>
    </row>
    <row r="48" spans="1:9" ht="32.25" customHeight="1" thickBot="1" x14ac:dyDescent="0.25">
      <c r="A48" s="1565" t="s">
        <v>152</v>
      </c>
      <c r="B48" s="1566"/>
      <c r="C48" s="1566"/>
      <c r="D48" s="1566"/>
      <c r="E48" s="818">
        <v>0</v>
      </c>
      <c r="F48" s="818">
        <v>0</v>
      </c>
      <c r="G48" s="819">
        <v>0</v>
      </c>
      <c r="H48" s="820">
        <f>IF($F$32&lt;4,E48,IF($F$32=4,F48,IF($F$32=5,G48)))</f>
        <v>0</v>
      </c>
    </row>
    <row r="49" spans="1:8" ht="53.25" customHeight="1" thickTop="1" thickBot="1" x14ac:dyDescent="0.25">
      <c r="A49" s="1585" t="s">
        <v>307</v>
      </c>
      <c r="B49" s="1586"/>
      <c r="C49" s="1586"/>
      <c r="D49" s="1586"/>
      <c r="E49" s="1586"/>
      <c r="F49" s="1587"/>
      <c r="G49" s="821" t="s">
        <v>267</v>
      </c>
      <c r="H49" s="1537" t="s">
        <v>102</v>
      </c>
    </row>
    <row r="50" spans="1:8" ht="36.75" customHeight="1" x14ac:dyDescent="0.2">
      <c r="A50" s="1581" t="s">
        <v>256</v>
      </c>
      <c r="B50" s="1582"/>
      <c r="C50" s="1582"/>
      <c r="D50" s="1582"/>
      <c r="E50" s="1583"/>
      <c r="F50" s="1584"/>
      <c r="G50" s="782">
        <v>0</v>
      </c>
      <c r="H50" s="453">
        <f>IF($F$32&gt;3,G50,0)</f>
        <v>0</v>
      </c>
    </row>
    <row r="51" spans="1:8" ht="36.75" customHeight="1" thickBot="1" x14ac:dyDescent="0.25">
      <c r="A51" s="1578" t="s">
        <v>255</v>
      </c>
      <c r="B51" s="1579"/>
      <c r="C51" s="1579"/>
      <c r="D51" s="1579"/>
      <c r="E51" s="1579"/>
      <c r="F51" s="1580"/>
      <c r="G51" s="781">
        <v>0</v>
      </c>
      <c r="H51" s="509">
        <f>IF($F$32&gt;3,G51,0)</f>
        <v>0</v>
      </c>
    </row>
    <row r="52" spans="1:8" ht="30" customHeight="1" thickTop="1" thickBot="1" x14ac:dyDescent="0.25">
      <c r="A52" s="1575" t="s">
        <v>153</v>
      </c>
      <c r="B52" s="1576"/>
      <c r="C52" s="1576"/>
      <c r="D52" s="1576"/>
      <c r="E52" s="1577"/>
      <c r="F52" s="1577"/>
      <c r="G52" s="783">
        <f>G50+G51</f>
        <v>0</v>
      </c>
      <c r="H52" s="510">
        <f>IF($F$32&gt;3,G52,0)</f>
        <v>0</v>
      </c>
    </row>
    <row r="53" spans="1:8" ht="41.25" customHeight="1" thickTop="1" thickBot="1" x14ac:dyDescent="0.25">
      <c r="A53" s="1572" t="s">
        <v>143</v>
      </c>
      <c r="B53" s="1573"/>
      <c r="C53" s="1573"/>
      <c r="D53" s="1573"/>
      <c r="E53" s="1574"/>
      <c r="F53" s="1574"/>
      <c r="G53" s="784">
        <v>0</v>
      </c>
      <c r="H53" s="509">
        <f>IF($F$32&gt;3,G53,0)</f>
        <v>0</v>
      </c>
    </row>
    <row r="54" spans="1:8" ht="15.75" thickTop="1" x14ac:dyDescent="0.2">
      <c r="G54" s="7"/>
    </row>
    <row r="63" spans="1:8" ht="18.75" customHeight="1" x14ac:dyDescent="0.2"/>
    <row r="70" ht="25.5" customHeight="1" x14ac:dyDescent="0.2"/>
    <row r="73" ht="18.75" customHeight="1" x14ac:dyDescent="0.2"/>
    <row r="74" ht="18.75" customHeight="1" x14ac:dyDescent="0.2"/>
    <row r="75" ht="18.75" customHeight="1" x14ac:dyDescent="0.2"/>
    <row r="76" ht="18.75" customHeight="1" x14ac:dyDescent="0.2"/>
    <row r="77" ht="18.75" customHeight="1" x14ac:dyDescent="0.2"/>
    <row r="78" ht="18.75" customHeight="1" x14ac:dyDescent="0.2"/>
    <row r="79" ht="18.75" customHeight="1" x14ac:dyDescent="0.2"/>
    <row r="80" ht="18.75" customHeight="1" x14ac:dyDescent="0.2"/>
    <row r="112" spans="1:9" x14ac:dyDescent="0.2">
      <c r="A112" s="1"/>
      <c r="B112" s="1"/>
      <c r="C112" s="1"/>
      <c r="D112" s="1"/>
      <c r="E112" s="1"/>
      <c r="F112" s="1"/>
      <c r="G112" s="1"/>
      <c r="H112" s="1"/>
      <c r="I112" s="1"/>
    </row>
    <row r="113" spans="1:9" x14ac:dyDescent="0.2">
      <c r="A113" s="1561"/>
      <c r="B113" s="1562"/>
      <c r="C113" s="1562"/>
      <c r="D113" s="1562"/>
      <c r="E113" s="1562"/>
      <c r="F113" s="1562"/>
      <c r="G113" s="1562"/>
      <c r="H113" s="1562"/>
      <c r="I113" s="1562"/>
    </row>
  </sheetData>
  <sheetProtection password="CD4C" sheet="1" objects="1" scenarios="1" formatCells="0" formatColumns="0" formatRows="0"/>
  <mergeCells count="47">
    <mergeCell ref="G22:H22"/>
    <mergeCell ref="A36:E36"/>
    <mergeCell ref="A42:D42"/>
    <mergeCell ref="A38:E38"/>
    <mergeCell ref="A39:E39"/>
    <mergeCell ref="A22:E25"/>
    <mergeCell ref="G24:H24"/>
    <mergeCell ref="G25:H25"/>
    <mergeCell ref="G30:H30"/>
    <mergeCell ref="G27:H27"/>
    <mergeCell ref="G28:H28"/>
    <mergeCell ref="D32:E32"/>
    <mergeCell ref="H40:H41"/>
    <mergeCell ref="G40:G41"/>
    <mergeCell ref="G31:H31"/>
    <mergeCell ref="A1:H1"/>
    <mergeCell ref="E4:H4"/>
    <mergeCell ref="A44:D44"/>
    <mergeCell ref="G21:H21"/>
    <mergeCell ref="A37:E37"/>
    <mergeCell ref="G23:H23"/>
    <mergeCell ref="E2:H3"/>
    <mergeCell ref="A41:C41"/>
    <mergeCell ref="F40:F41"/>
    <mergeCell ref="G18:H20"/>
    <mergeCell ref="A2:D3"/>
    <mergeCell ref="D17:E17"/>
    <mergeCell ref="D15:F15"/>
    <mergeCell ref="G6:H6"/>
    <mergeCell ref="G10:H10"/>
    <mergeCell ref="D14:F14"/>
    <mergeCell ref="D13:H13"/>
    <mergeCell ref="D12:H12"/>
    <mergeCell ref="A113:I113"/>
    <mergeCell ref="A45:D45"/>
    <mergeCell ref="A48:D48"/>
    <mergeCell ref="A46:D46"/>
    <mergeCell ref="A47:E47"/>
    <mergeCell ref="A53:F53"/>
    <mergeCell ref="A52:F52"/>
    <mergeCell ref="A51:F51"/>
    <mergeCell ref="A50:F50"/>
    <mergeCell ref="A49:F49"/>
    <mergeCell ref="A43:D43"/>
    <mergeCell ref="A40:D40"/>
    <mergeCell ref="G26:H26"/>
    <mergeCell ref="G29:H29"/>
  </mergeCells>
  <phoneticPr fontId="54" type="noConversion"/>
  <dataValidations count="6">
    <dataValidation type="list" allowBlank="1" showInputMessage="1" showErrorMessage="1" sqref="D41">
      <formula1>"ESTIMATES, TENDER VALUES"</formula1>
    </dataValidation>
    <dataValidation type="list" allowBlank="1" showInputMessage="1" showErrorMessage="1" sqref="F36:F39">
      <formula1>"N,Y"</formula1>
    </dataValidation>
    <dataValidation type="list" allowBlank="1" showInputMessage="1" showErrorMessage="1" sqref="D34">
      <formula1>"Y,N"</formula1>
    </dataValidation>
    <dataValidation type="list" allowBlank="1" showInputMessage="1" showErrorMessage="1" sqref="D32:E32">
      <formula1>"INCEPTION,PRELIMINARY DESIGN: CONCEPT &amp; VIABILITY, DETAIL DESIGN &amp; DOCUMENTATION &amp; PROCUREMENT, CONTRACT ADMINISTRATION &amp; INSPECTION, CLOSE-OUT"</formula1>
    </dataValidation>
    <dataValidation type="list" allowBlank="1" showInputMessage="1" showErrorMessage="1" sqref="D10">
      <formula1>"MULTIDISCIPLINARY PROJECT,ENGINEERING PROJECT"</formula1>
    </dataValidation>
    <dataValidation type="list" allowBlank="1" showInputMessage="1" showErrorMessage="1" sqref="D11">
      <formula1>"YES,NO"</formula1>
    </dataValidation>
  </dataValidations>
  <printOptions horizontalCentered="1"/>
  <pageMargins left="0.55118110236220474" right="0.55118110236220474" top="0.78740157480314965" bottom="0.78740157480314965" header="0.51181102362204722" footer="0.51181102362204722"/>
  <pageSetup paperSize="9" scale="58" orientation="portrait" horizontalDpi="4294967294" r:id="rId1"/>
  <headerFooter alignWithMargins="0">
    <oddFooter>&amp;L&amp;8&amp;F Rev 1 of 310805&amp;C&amp;8&amp;A&amp;R&amp;8&amp;D</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enableFormatConditionsCalculation="0">
    <tabColor indexed="43"/>
  </sheetPr>
  <dimension ref="A1:I113"/>
  <sheetViews>
    <sheetView zoomScale="75" zoomScaleNormal="75" zoomScaleSheetLayoutView="70" workbookViewId="0">
      <selection activeCell="E8" sqref="E8"/>
    </sheetView>
  </sheetViews>
  <sheetFormatPr defaultRowHeight="15" x14ac:dyDescent="0.2"/>
  <cols>
    <col min="1" max="1" width="16.33203125" customWidth="1"/>
    <col min="2" max="2" width="3.88671875" customWidth="1"/>
    <col min="3" max="3" width="8.88671875" customWidth="1"/>
    <col min="4" max="4" width="27" customWidth="1"/>
    <col min="5" max="5" width="18.6640625" customWidth="1"/>
    <col min="6" max="6" width="17.5546875" customWidth="1"/>
    <col min="7" max="7" width="17.21875" customWidth="1"/>
    <col min="8" max="8" width="16" customWidth="1"/>
    <col min="9" max="9" width="2.88671875" customWidth="1"/>
  </cols>
  <sheetData>
    <row r="1" spans="1:9" ht="54.75" customHeight="1" thickTop="1" thickBot="1" x14ac:dyDescent="0.25">
      <c r="A1" s="1595" t="str">
        <f>'Input Data'!A1:H1</f>
        <v>PLEASE READ THE NOTES (1st SHEET) BEFORE STARTING TO POPULATE THE SHEETS. COMPLETE ALL YELLOW CELLS PLEASE !!!</v>
      </c>
      <c r="B1" s="1662"/>
      <c r="C1" s="1662"/>
      <c r="D1" s="1662"/>
      <c r="E1" s="1662"/>
      <c r="F1" s="1662"/>
      <c r="G1" s="1662"/>
      <c r="H1" s="1663"/>
      <c r="I1" s="3"/>
    </row>
    <row r="2" spans="1:9" ht="24.75" customHeight="1" thickTop="1" x14ac:dyDescent="0.2">
      <c r="A2" s="1692"/>
      <c r="B2" s="1693"/>
      <c r="C2" s="1693"/>
      <c r="D2" s="1693"/>
      <c r="E2" s="1606" t="s">
        <v>132</v>
      </c>
      <c r="F2" s="1607"/>
      <c r="G2" s="1607"/>
      <c r="H2" s="1669"/>
      <c r="I2" s="3"/>
    </row>
    <row r="3" spans="1:9" ht="27" customHeight="1" x14ac:dyDescent="0.2">
      <c r="A3" s="1694"/>
      <c r="B3" s="1693"/>
      <c r="C3" s="1693"/>
      <c r="D3" s="1693"/>
      <c r="E3" s="1670"/>
      <c r="F3" s="1670"/>
      <c r="G3" s="1670"/>
      <c r="H3" s="1669"/>
      <c r="I3" s="2"/>
    </row>
    <row r="4" spans="1:9" ht="27.75" customHeight="1" x14ac:dyDescent="0.2">
      <c r="A4" s="318"/>
      <c r="B4" s="479"/>
      <c r="C4" s="479"/>
      <c r="D4" s="479"/>
      <c r="E4" s="1598" t="str">
        <f>'Input Data'!E4:H4</f>
        <v>MULTIDISCIPLINARY PROJECT: 2012 NDPW FEES</v>
      </c>
      <c r="F4" s="1599"/>
      <c r="G4" s="1599"/>
      <c r="H4" s="1664"/>
      <c r="I4" s="2"/>
    </row>
    <row r="5" spans="1:9" ht="10.5" customHeight="1" thickBot="1" x14ac:dyDescent="0.25">
      <c r="A5" s="478"/>
      <c r="B5" s="479"/>
      <c r="C5" s="479"/>
      <c r="D5" s="479"/>
      <c r="E5" s="468"/>
      <c r="F5" s="469"/>
      <c r="G5" s="469"/>
      <c r="H5" s="480" t="str">
        <f>'Input Data'!H5</f>
        <v>Version: 1.1  2012-10</v>
      </c>
      <c r="I5" s="2"/>
    </row>
    <row r="6" spans="1:9" ht="16.5" thickTop="1" x14ac:dyDescent="0.2">
      <c r="A6" s="512"/>
      <c r="B6" s="388"/>
      <c r="C6" s="389" t="s">
        <v>208</v>
      </c>
      <c r="D6" s="513" t="s">
        <v>271</v>
      </c>
      <c r="E6" s="514"/>
      <c r="F6" s="515" t="s">
        <v>207</v>
      </c>
      <c r="G6" s="1701" t="s">
        <v>299</v>
      </c>
      <c r="H6" s="1702"/>
      <c r="I6" s="3"/>
    </row>
    <row r="7" spans="1:9" x14ac:dyDescent="0.2">
      <c r="A7" s="516"/>
      <c r="B7" s="31"/>
      <c r="C7" s="390" t="s">
        <v>214</v>
      </c>
      <c r="D7" s="517">
        <v>79867</v>
      </c>
      <c r="E7" s="518"/>
      <c r="F7" s="379" t="s">
        <v>186</v>
      </c>
      <c r="G7" s="519" t="s">
        <v>296</v>
      </c>
      <c r="H7" s="419"/>
      <c r="I7" s="2"/>
    </row>
    <row r="8" spans="1:9" x14ac:dyDescent="0.2">
      <c r="A8" s="516"/>
      <c r="B8" s="31"/>
      <c r="C8" s="390" t="s">
        <v>225</v>
      </c>
      <c r="D8" s="520">
        <v>2</v>
      </c>
      <c r="E8" s="518"/>
      <c r="F8" s="379" t="s">
        <v>199</v>
      </c>
      <c r="G8" s="519" t="s">
        <v>297</v>
      </c>
      <c r="H8" s="419"/>
      <c r="I8" s="2"/>
    </row>
    <row r="9" spans="1:9" x14ac:dyDescent="0.2">
      <c r="A9" s="516"/>
      <c r="B9" s="31"/>
      <c r="C9" s="390" t="s">
        <v>168</v>
      </c>
      <c r="D9" s="521" t="s">
        <v>282</v>
      </c>
      <c r="E9" s="470"/>
      <c r="F9" s="477" t="s">
        <v>190</v>
      </c>
      <c r="G9" s="519" t="s">
        <v>298</v>
      </c>
      <c r="H9" s="419"/>
      <c r="I9" s="2"/>
    </row>
    <row r="10" spans="1:9" ht="15.75" customHeight="1" x14ac:dyDescent="0.2">
      <c r="A10" s="516"/>
      <c r="B10" s="31"/>
      <c r="C10" s="250" t="s">
        <v>99</v>
      </c>
      <c r="D10" s="607" t="s">
        <v>354</v>
      </c>
      <c r="E10" s="476" t="s">
        <v>36</v>
      </c>
      <c r="F10" s="379" t="s">
        <v>189</v>
      </c>
      <c r="G10" s="1703" t="s">
        <v>300</v>
      </c>
      <c r="H10" s="1704"/>
      <c r="I10" s="2"/>
    </row>
    <row r="11" spans="1:9" ht="15.75" customHeight="1" x14ac:dyDescent="0.2">
      <c r="A11" s="516"/>
      <c r="B11" s="31"/>
      <c r="C11" s="711" t="s">
        <v>342</v>
      </c>
      <c r="D11" s="712" t="s">
        <v>539</v>
      </c>
      <c r="E11" s="713" t="str">
        <f>IF($D$11="Yes", "NO OF DAYS","")</f>
        <v>NO OF DAYS</v>
      </c>
      <c r="F11" s="714">
        <v>1</v>
      </c>
      <c r="G11" s="715" t="str">
        <f>IF($D$11="Yes", "RATE","")</f>
        <v>RATE</v>
      </c>
      <c r="H11" s="716">
        <v>1000</v>
      </c>
      <c r="I11" s="2"/>
    </row>
    <row r="12" spans="1:9" x14ac:dyDescent="0.2">
      <c r="A12" s="516"/>
      <c r="B12" s="31"/>
      <c r="C12" s="390" t="s">
        <v>96</v>
      </c>
      <c r="D12" s="1697" t="s">
        <v>272</v>
      </c>
      <c r="E12" s="1698"/>
      <c r="F12" s="1698"/>
      <c r="G12" s="1698"/>
      <c r="H12" s="1705"/>
      <c r="I12" s="2"/>
    </row>
    <row r="13" spans="1:9" x14ac:dyDescent="0.2">
      <c r="A13" s="516"/>
      <c r="B13" s="31"/>
      <c r="C13" s="390" t="s">
        <v>217</v>
      </c>
      <c r="D13" s="1706" t="s">
        <v>273</v>
      </c>
      <c r="E13" s="1707"/>
      <c r="F13" s="1707"/>
      <c r="G13" s="1707"/>
      <c r="H13" s="1708"/>
      <c r="I13" s="2"/>
    </row>
    <row r="14" spans="1:9" ht="18" customHeight="1" x14ac:dyDescent="0.2">
      <c r="A14" s="516"/>
      <c r="B14" s="31"/>
      <c r="C14" s="390" t="s">
        <v>134</v>
      </c>
      <c r="D14" s="1697" t="s">
        <v>274</v>
      </c>
      <c r="E14" s="1698"/>
      <c r="F14" s="1698"/>
      <c r="G14" s="399" t="s">
        <v>194</v>
      </c>
      <c r="H14" s="522">
        <v>1034</v>
      </c>
      <c r="I14" s="2"/>
    </row>
    <row r="15" spans="1:9" ht="18" customHeight="1" x14ac:dyDescent="0.2">
      <c r="A15" s="516"/>
      <c r="B15" s="31"/>
      <c r="C15" s="390" t="s">
        <v>261</v>
      </c>
      <c r="D15" s="1697" t="s">
        <v>275</v>
      </c>
      <c r="E15" s="1698"/>
      <c r="F15" s="1698"/>
      <c r="G15" s="399" t="s">
        <v>194</v>
      </c>
      <c r="H15" s="523">
        <v>1002</v>
      </c>
      <c r="I15" s="2"/>
    </row>
    <row r="16" spans="1:9" ht="17.25" customHeight="1" x14ac:dyDescent="0.2">
      <c r="A16" s="516"/>
      <c r="B16" s="30"/>
      <c r="C16" s="390" t="s">
        <v>130</v>
      </c>
      <c r="D16" s="524" t="s">
        <v>277</v>
      </c>
      <c r="E16" s="525" t="s">
        <v>195</v>
      </c>
      <c r="F16" s="526" t="s">
        <v>278</v>
      </c>
      <c r="G16" s="400" t="s">
        <v>190</v>
      </c>
      <c r="H16" s="527" t="s">
        <v>276</v>
      </c>
      <c r="I16" s="2"/>
    </row>
    <row r="17" spans="1:9" ht="17.25" customHeight="1" thickBot="1" x14ac:dyDescent="0.25">
      <c r="A17" s="516"/>
      <c r="B17" s="30"/>
      <c r="C17" s="390" t="s">
        <v>189</v>
      </c>
      <c r="D17" s="1695" t="s">
        <v>279</v>
      </c>
      <c r="E17" s="1696"/>
      <c r="F17" s="528"/>
      <c r="G17" s="303"/>
      <c r="H17" s="419"/>
      <c r="I17" s="2"/>
    </row>
    <row r="18" spans="1:9" ht="15.75" thickTop="1" x14ac:dyDescent="0.2">
      <c r="A18" s="516"/>
      <c r="B18" s="31"/>
      <c r="C18" s="390" t="s">
        <v>93</v>
      </c>
      <c r="D18" s="521" t="s">
        <v>280</v>
      </c>
      <c r="E18" s="471">
        <v>1</v>
      </c>
      <c r="F18" s="504"/>
      <c r="G18" s="1674" t="s">
        <v>209</v>
      </c>
      <c r="H18" s="1675"/>
      <c r="I18" s="3"/>
    </row>
    <row r="19" spans="1:9" x14ac:dyDescent="0.2">
      <c r="A19" s="516"/>
      <c r="B19" s="31"/>
      <c r="C19" s="390" t="s">
        <v>127</v>
      </c>
      <c r="D19" s="529" t="s">
        <v>281</v>
      </c>
      <c r="E19" s="472" t="s">
        <v>309</v>
      </c>
      <c r="F19" s="505" t="s">
        <v>178</v>
      </c>
      <c r="G19" s="1676"/>
      <c r="H19" s="1677"/>
      <c r="I19" s="3"/>
    </row>
    <row r="20" spans="1:9" ht="15.75" x14ac:dyDescent="0.2">
      <c r="A20" s="516"/>
      <c r="B20" s="391"/>
      <c r="C20" s="390" t="s">
        <v>28</v>
      </c>
      <c r="D20" s="530">
        <v>41002</v>
      </c>
      <c r="E20" s="474"/>
      <c r="F20" s="506"/>
      <c r="G20" s="1678"/>
      <c r="H20" s="1679"/>
      <c r="I20" s="3"/>
    </row>
    <row r="21" spans="1:9" x14ac:dyDescent="0.2">
      <c r="A21" s="531"/>
      <c r="B21" s="392"/>
      <c r="C21" s="393" t="s">
        <v>131</v>
      </c>
      <c r="D21" s="609">
        <f>'Input Data'!D21</f>
        <v>2012</v>
      </c>
      <c r="E21" s="544">
        <v>1</v>
      </c>
      <c r="F21" s="380" t="s">
        <v>174</v>
      </c>
      <c r="G21" s="1655" t="s">
        <v>283</v>
      </c>
      <c r="H21" s="1656"/>
      <c r="I21" s="3"/>
    </row>
    <row r="22" spans="1:9" ht="27" customHeight="1" x14ac:dyDescent="0.2">
      <c r="A22" s="1639" t="str">
        <f>'Input Data'!A22:E25</f>
        <v>Fee in accordance with the National Department of Public Works Scope of Engineering Services and Tariff of Fees for Persons Registered in terms of the Engineering Profession Act, 2000 (Act No. 46 of 2000) dated 1 January 2012</v>
      </c>
      <c r="B22" s="1640"/>
      <c r="C22" s="1640"/>
      <c r="D22" s="1640"/>
      <c r="E22" s="1641"/>
      <c r="F22" s="386" t="s">
        <v>175</v>
      </c>
      <c r="G22" s="1655" t="s">
        <v>284</v>
      </c>
      <c r="H22" s="1656"/>
      <c r="I22" s="3"/>
    </row>
    <row r="23" spans="1:9" x14ac:dyDescent="0.2">
      <c r="A23" s="1642"/>
      <c r="B23" s="1643"/>
      <c r="C23" s="1643"/>
      <c r="D23" s="1643"/>
      <c r="E23" s="1644"/>
      <c r="F23" s="386" t="s">
        <v>176</v>
      </c>
      <c r="G23" s="1668" t="s">
        <v>285</v>
      </c>
      <c r="H23" s="1656"/>
      <c r="I23" s="3"/>
    </row>
    <row r="24" spans="1:9" x14ac:dyDescent="0.2">
      <c r="A24" s="1642"/>
      <c r="B24" s="1643"/>
      <c r="C24" s="1643"/>
      <c r="D24" s="1643"/>
      <c r="E24" s="1644"/>
      <c r="F24" s="386" t="s">
        <v>93</v>
      </c>
      <c r="G24" s="1711" t="s">
        <v>295</v>
      </c>
      <c r="H24" s="1712"/>
      <c r="I24" s="3"/>
    </row>
    <row r="25" spans="1:9" ht="19.5" customHeight="1" x14ac:dyDescent="0.2">
      <c r="A25" s="1642"/>
      <c r="B25" s="1643"/>
      <c r="C25" s="1643"/>
      <c r="D25" s="1643"/>
      <c r="E25" s="1644"/>
      <c r="F25" s="386" t="s">
        <v>260</v>
      </c>
      <c r="G25" s="1655" t="s">
        <v>286</v>
      </c>
      <c r="H25" s="1656"/>
      <c r="I25" s="3"/>
    </row>
    <row r="26" spans="1:9" ht="15.75" x14ac:dyDescent="0.2">
      <c r="A26" s="293" t="s">
        <v>29</v>
      </c>
      <c r="B26" s="248"/>
      <c r="C26" s="29"/>
      <c r="D26" s="507" t="s">
        <v>310</v>
      </c>
      <c r="E26" s="24"/>
      <c r="F26" s="381" t="s">
        <v>193</v>
      </c>
      <c r="G26" s="1655" t="s">
        <v>287</v>
      </c>
      <c r="H26" s="1656"/>
      <c r="I26" s="3"/>
    </row>
    <row r="27" spans="1:9" ht="18" x14ac:dyDescent="0.2">
      <c r="A27" s="239" t="s">
        <v>164</v>
      </c>
      <c r="B27" s="240"/>
      <c r="C27" s="241"/>
      <c r="D27" s="532">
        <v>100</v>
      </c>
      <c r="E27" s="24" t="s">
        <v>226</v>
      </c>
      <c r="F27" s="381" t="s">
        <v>192</v>
      </c>
      <c r="G27" s="1655" t="s">
        <v>284</v>
      </c>
      <c r="H27" s="1656"/>
      <c r="I27" s="3"/>
    </row>
    <row r="28" spans="1:9" ht="15.75" x14ac:dyDescent="0.2">
      <c r="A28" s="533"/>
      <c r="B28" s="534"/>
      <c r="C28" s="394" t="s">
        <v>107</v>
      </c>
      <c r="D28" s="535">
        <v>41243</v>
      </c>
      <c r="E28" s="24"/>
      <c r="F28" s="382" t="s">
        <v>194</v>
      </c>
      <c r="G28" s="1668" t="s">
        <v>288</v>
      </c>
      <c r="H28" s="1709"/>
      <c r="I28" s="3"/>
    </row>
    <row r="29" spans="1:9" ht="15.75" x14ac:dyDescent="0.2">
      <c r="A29" s="536"/>
      <c r="B29" s="395"/>
      <c r="C29" s="390" t="s">
        <v>612</v>
      </c>
      <c r="D29" s="537">
        <v>10</v>
      </c>
      <c r="E29" s="24"/>
      <c r="F29" s="383" t="s">
        <v>179</v>
      </c>
      <c r="G29" s="1685" t="s">
        <v>289</v>
      </c>
      <c r="H29" s="1656"/>
      <c r="I29" s="3"/>
    </row>
    <row r="30" spans="1:9" ht="15.75" x14ac:dyDescent="0.2">
      <c r="A30" s="536"/>
      <c r="B30" s="395"/>
      <c r="C30" s="390" t="s">
        <v>262</v>
      </c>
      <c r="D30" s="538" t="s">
        <v>292</v>
      </c>
      <c r="E30" s="24"/>
      <c r="F30" s="384" t="s">
        <v>180</v>
      </c>
      <c r="G30" s="1685" t="s">
        <v>290</v>
      </c>
      <c r="H30" s="1656"/>
      <c r="I30" s="3"/>
    </row>
    <row r="31" spans="1:9" ht="16.5" thickBot="1" x14ac:dyDescent="0.25">
      <c r="A31" s="536"/>
      <c r="B31" s="395"/>
      <c r="C31" s="390" t="s">
        <v>20</v>
      </c>
      <c r="D31" s="538" t="s">
        <v>293</v>
      </c>
      <c r="E31" s="24"/>
      <c r="F31" s="385" t="s">
        <v>181</v>
      </c>
      <c r="G31" s="1659" t="s">
        <v>291</v>
      </c>
      <c r="H31" s="1660"/>
      <c r="I31" s="3"/>
    </row>
    <row r="32" spans="1:9" ht="15.75" thickTop="1" x14ac:dyDescent="0.2">
      <c r="A32" s="536"/>
      <c r="B32" s="539"/>
      <c r="C32" s="390" t="s">
        <v>311</v>
      </c>
      <c r="D32" s="1710" t="s">
        <v>308</v>
      </c>
      <c r="E32" s="1698"/>
      <c r="F32" s="285">
        <v>5</v>
      </c>
      <c r="G32" s="62"/>
      <c r="H32" s="419"/>
      <c r="I32" s="3"/>
    </row>
    <row r="33" spans="1:9" ht="16.5" x14ac:dyDescent="0.2">
      <c r="A33" s="536"/>
      <c r="B33" s="539"/>
      <c r="C33" s="717" t="s">
        <v>343</v>
      </c>
      <c r="D33" s="718">
        <v>1</v>
      </c>
      <c r="E33" s="798" t="s">
        <v>345</v>
      </c>
      <c r="F33" s="681"/>
      <c r="G33" s="62"/>
      <c r="H33" s="419"/>
      <c r="I33" s="3"/>
    </row>
    <row r="34" spans="1:9" ht="15.75" x14ac:dyDescent="0.2">
      <c r="A34" s="536"/>
      <c r="B34" s="395"/>
      <c r="C34" s="390" t="s">
        <v>149</v>
      </c>
      <c r="D34" s="609" t="s">
        <v>129</v>
      </c>
      <c r="E34" s="24"/>
      <c r="F34" s="62"/>
      <c r="G34" s="62"/>
      <c r="H34" s="419"/>
      <c r="I34" s="3"/>
    </row>
    <row r="35" spans="1:9" ht="15.75" x14ac:dyDescent="0.2">
      <c r="A35" s="506"/>
      <c r="B35" s="1151"/>
      <c r="C35" s="1151" t="s">
        <v>538</v>
      </c>
      <c r="D35" s="1529">
        <v>300000</v>
      </c>
      <c r="E35" s="24"/>
      <c r="F35" s="62"/>
      <c r="G35" s="62"/>
      <c r="H35" s="419"/>
      <c r="I35" s="3"/>
    </row>
    <row r="36" spans="1:9" x14ac:dyDescent="0.2">
      <c r="A36" s="1633" t="s">
        <v>264</v>
      </c>
      <c r="B36" s="1634"/>
      <c r="C36" s="1634"/>
      <c r="D36" s="1634"/>
      <c r="E36" s="1661"/>
      <c r="F36" s="608" t="s">
        <v>129</v>
      </c>
      <c r="G36" s="467" t="s">
        <v>206</v>
      </c>
      <c r="H36" s="540">
        <v>0.75</v>
      </c>
      <c r="I36" s="3"/>
    </row>
    <row r="37" spans="1:9" x14ac:dyDescent="0.2">
      <c r="A37" s="1602" t="s">
        <v>147</v>
      </c>
      <c r="B37" s="1603"/>
      <c r="C37" s="1603"/>
      <c r="D37" s="1603"/>
      <c r="E37" s="1667"/>
      <c r="F37" s="608" t="s">
        <v>129</v>
      </c>
      <c r="G37" s="62"/>
      <c r="H37" s="419"/>
      <c r="I37" s="3"/>
    </row>
    <row r="38" spans="1:9" x14ac:dyDescent="0.2">
      <c r="A38" s="1602" t="s">
        <v>115</v>
      </c>
      <c r="B38" s="1603"/>
      <c r="C38" s="1603"/>
      <c r="D38" s="1603"/>
      <c r="E38" s="1667"/>
      <c r="F38" s="608" t="s">
        <v>129</v>
      </c>
      <c r="G38" s="13"/>
      <c r="H38" s="419"/>
      <c r="I38" s="3"/>
    </row>
    <row r="39" spans="1:9" ht="15.75" thickBot="1" x14ac:dyDescent="0.25">
      <c r="A39" s="1636" t="s">
        <v>116</v>
      </c>
      <c r="B39" s="1699"/>
      <c r="C39" s="1699"/>
      <c r="D39" s="1699"/>
      <c r="E39" s="1700"/>
      <c r="F39" s="608" t="s">
        <v>129</v>
      </c>
      <c r="G39" s="324"/>
      <c r="H39" s="367">
        <f>'Input Data'!H39</f>
        <v>512000</v>
      </c>
      <c r="I39" s="3"/>
    </row>
    <row r="40" spans="1:9" ht="69.75" customHeight="1" thickTop="1" thickBot="1" x14ac:dyDescent="0.25">
      <c r="A40" s="1683" t="s">
        <v>142</v>
      </c>
      <c r="B40" s="1684"/>
      <c r="C40" s="1684"/>
      <c r="D40" s="1684"/>
      <c r="E40" s="677" t="s">
        <v>268</v>
      </c>
      <c r="F40" s="1612" t="s">
        <v>269</v>
      </c>
      <c r="G40" s="1652" t="s">
        <v>270</v>
      </c>
      <c r="H40" s="1657" t="s">
        <v>102</v>
      </c>
      <c r="I40" s="4"/>
    </row>
    <row r="41" spans="1:9" ht="21.75" customHeight="1" thickBot="1" x14ac:dyDescent="0.25">
      <c r="A41" s="1671" t="s">
        <v>151</v>
      </c>
      <c r="B41" s="1672"/>
      <c r="C41" s="1673"/>
      <c r="D41" s="767" t="s">
        <v>254</v>
      </c>
      <c r="E41" s="679">
        <v>1</v>
      </c>
      <c r="F41" s="1613"/>
      <c r="G41" s="1653"/>
      <c r="H41" s="1658"/>
      <c r="I41" s="4"/>
    </row>
    <row r="42" spans="1:9" ht="44.25" customHeight="1" x14ac:dyDescent="0.2">
      <c r="A42" s="1680" t="s">
        <v>148</v>
      </c>
      <c r="B42" s="1681"/>
      <c r="C42" s="1681"/>
      <c r="D42" s="1681"/>
      <c r="E42" s="768">
        <v>800000</v>
      </c>
      <c r="F42" s="768">
        <v>800000</v>
      </c>
      <c r="G42" s="769">
        <v>800000</v>
      </c>
      <c r="H42" s="453">
        <v>800000</v>
      </c>
      <c r="I42" s="4"/>
    </row>
    <row r="43" spans="1:9" ht="30.75" customHeight="1" x14ac:dyDescent="0.2">
      <c r="A43" s="1665" t="s">
        <v>103</v>
      </c>
      <c r="B43" s="1682"/>
      <c r="C43" s="1682"/>
      <c r="D43" s="1682"/>
      <c r="E43" s="770">
        <v>600000</v>
      </c>
      <c r="F43" s="770">
        <v>600000</v>
      </c>
      <c r="G43" s="771">
        <v>600000</v>
      </c>
      <c r="H43" s="454">
        <v>600000</v>
      </c>
    </row>
    <row r="44" spans="1:9" ht="30.75" customHeight="1" x14ac:dyDescent="0.2">
      <c r="A44" s="1665" t="s">
        <v>104</v>
      </c>
      <c r="B44" s="1666"/>
      <c r="C44" s="1666"/>
      <c r="D44" s="1666"/>
      <c r="E44" s="770">
        <v>200000</v>
      </c>
      <c r="F44" s="770">
        <v>200000</v>
      </c>
      <c r="G44" s="771">
        <v>200000</v>
      </c>
      <c r="H44" s="454">
        <v>200000</v>
      </c>
    </row>
    <row r="45" spans="1:9" ht="39.75" customHeight="1" thickBot="1" x14ac:dyDescent="0.25">
      <c r="A45" s="1686" t="s">
        <v>141</v>
      </c>
      <c r="B45" s="1687"/>
      <c r="C45" s="1687"/>
      <c r="D45" s="1687"/>
      <c r="E45" s="772">
        <v>150000</v>
      </c>
      <c r="F45" s="772">
        <v>150000</v>
      </c>
      <c r="G45" s="773">
        <v>150000</v>
      </c>
      <c r="H45" s="455">
        <v>150000</v>
      </c>
    </row>
    <row r="46" spans="1:9" ht="33.75" customHeight="1" thickBot="1" x14ac:dyDescent="0.25">
      <c r="A46" s="1688" t="s">
        <v>154</v>
      </c>
      <c r="B46" s="1689"/>
      <c r="C46" s="1689"/>
      <c r="D46" s="1689"/>
      <c r="E46" s="774">
        <v>1750000</v>
      </c>
      <c r="F46" s="774">
        <v>1750000</v>
      </c>
      <c r="G46" s="775">
        <v>1750000</v>
      </c>
      <c r="H46" s="456">
        <v>1750000</v>
      </c>
    </row>
    <row r="47" spans="1:9" ht="27" customHeight="1" thickTop="1" thickBot="1" x14ac:dyDescent="0.25">
      <c r="A47" s="1569" t="s">
        <v>309</v>
      </c>
      <c r="B47" s="1570"/>
      <c r="C47" s="1570"/>
      <c r="D47" s="1570"/>
      <c r="E47" s="1571"/>
      <c r="F47" s="776"/>
      <c r="G47" s="777" t="s">
        <v>309</v>
      </c>
      <c r="H47" s="457"/>
    </row>
    <row r="48" spans="1:9" ht="32.25" customHeight="1" thickBot="1" x14ac:dyDescent="0.25">
      <c r="A48" s="1565" t="s">
        <v>152</v>
      </c>
      <c r="B48" s="1566"/>
      <c r="C48" s="1566"/>
      <c r="D48" s="1566"/>
      <c r="E48" s="778">
        <v>5000000</v>
      </c>
      <c r="F48" s="778">
        <v>5000000</v>
      </c>
      <c r="G48" s="764">
        <v>5000000</v>
      </c>
      <c r="H48" s="458">
        <v>5000000</v>
      </c>
    </row>
    <row r="49" spans="1:8" ht="53.25" customHeight="1" thickTop="1" thickBot="1" x14ac:dyDescent="0.25">
      <c r="A49" s="1585" t="s">
        <v>135</v>
      </c>
      <c r="B49" s="1586"/>
      <c r="C49" s="1586"/>
      <c r="D49" s="1586"/>
      <c r="E49" s="1586"/>
      <c r="F49" s="1672"/>
      <c r="G49" s="511" t="s">
        <v>267</v>
      </c>
      <c r="H49" s="508" t="s">
        <v>102</v>
      </c>
    </row>
    <row r="50" spans="1:8" ht="36.75" customHeight="1" x14ac:dyDescent="0.2">
      <c r="A50" s="1581" t="s">
        <v>256</v>
      </c>
      <c r="B50" s="1582"/>
      <c r="C50" s="1582"/>
      <c r="D50" s="1582"/>
      <c r="E50" s="1583"/>
      <c r="F50" s="1584"/>
      <c r="G50" s="762">
        <v>1000000</v>
      </c>
      <c r="H50" s="453">
        <v>1000000</v>
      </c>
    </row>
    <row r="51" spans="1:8" ht="36.75" customHeight="1" thickBot="1" x14ac:dyDescent="0.25">
      <c r="A51" s="1690" t="s">
        <v>255</v>
      </c>
      <c r="B51" s="1691"/>
      <c r="C51" s="1691"/>
      <c r="D51" s="1691"/>
      <c r="E51" s="1691"/>
      <c r="F51" s="1691"/>
      <c r="G51" s="763">
        <v>750000</v>
      </c>
      <c r="H51" s="509">
        <v>750000</v>
      </c>
    </row>
    <row r="52" spans="1:8" ht="30" customHeight="1" thickTop="1" thickBot="1" x14ac:dyDescent="0.25">
      <c r="A52" s="1575" t="s">
        <v>153</v>
      </c>
      <c r="B52" s="1576"/>
      <c r="C52" s="1576"/>
      <c r="D52" s="1576"/>
      <c r="E52" s="1577"/>
      <c r="F52" s="1577"/>
      <c r="G52" s="765">
        <v>1750000</v>
      </c>
      <c r="H52" s="510">
        <v>1750000</v>
      </c>
    </row>
    <row r="53" spans="1:8" ht="41.25" customHeight="1" thickTop="1" thickBot="1" x14ac:dyDescent="0.25">
      <c r="A53" s="1572" t="s">
        <v>143</v>
      </c>
      <c r="B53" s="1573"/>
      <c r="C53" s="1573"/>
      <c r="D53" s="1573"/>
      <c r="E53" s="1574"/>
      <c r="F53" s="1574"/>
      <c r="G53" s="766">
        <v>5000000</v>
      </c>
      <c r="H53" s="509">
        <v>5000000</v>
      </c>
    </row>
    <row r="54" spans="1:8" ht="15.75" thickTop="1" x14ac:dyDescent="0.2">
      <c r="G54" s="7"/>
    </row>
    <row r="63" spans="1:8" ht="18.75" customHeight="1" x14ac:dyDescent="0.2"/>
    <row r="70" ht="25.5" customHeight="1" x14ac:dyDescent="0.2"/>
    <row r="73" ht="18.75" customHeight="1" x14ac:dyDescent="0.2"/>
    <row r="74" ht="18.75" customHeight="1" x14ac:dyDescent="0.2"/>
    <row r="75" ht="18.75" customHeight="1" x14ac:dyDescent="0.2"/>
    <row r="76" ht="18.75" customHeight="1" x14ac:dyDescent="0.2"/>
    <row r="77" ht="18.75" customHeight="1" x14ac:dyDescent="0.2"/>
    <row r="78" ht="18.75" customHeight="1" x14ac:dyDescent="0.2"/>
    <row r="79" ht="18.75" customHeight="1" x14ac:dyDescent="0.2"/>
    <row r="80" ht="18.75" customHeight="1" x14ac:dyDescent="0.2"/>
    <row r="112" spans="1:9" x14ac:dyDescent="0.2">
      <c r="A112" s="1"/>
      <c r="B112" s="1"/>
      <c r="C112" s="1"/>
      <c r="D112" s="1"/>
      <c r="E112" s="1"/>
      <c r="F112" s="1"/>
      <c r="G112" s="1"/>
      <c r="H112" s="1"/>
      <c r="I112" s="1"/>
    </row>
    <row r="113" spans="1:9" x14ac:dyDescent="0.2">
      <c r="A113" s="1561"/>
      <c r="B113" s="1562"/>
      <c r="C113" s="1562"/>
      <c r="D113" s="1562"/>
      <c r="E113" s="1562"/>
      <c r="F113" s="1562"/>
      <c r="G113" s="1562"/>
      <c r="H113" s="1562"/>
      <c r="I113" s="1562"/>
    </row>
  </sheetData>
  <sheetProtection formatCells="0" formatColumns="0"/>
  <mergeCells count="47">
    <mergeCell ref="A2:D3"/>
    <mergeCell ref="D17:E17"/>
    <mergeCell ref="D15:F15"/>
    <mergeCell ref="G40:G41"/>
    <mergeCell ref="A38:E38"/>
    <mergeCell ref="A39:E39"/>
    <mergeCell ref="G6:H6"/>
    <mergeCell ref="G10:H10"/>
    <mergeCell ref="D12:H12"/>
    <mergeCell ref="D14:F14"/>
    <mergeCell ref="D13:H13"/>
    <mergeCell ref="G27:H27"/>
    <mergeCell ref="G28:H28"/>
    <mergeCell ref="D32:E32"/>
    <mergeCell ref="A22:E25"/>
    <mergeCell ref="G24:H24"/>
    <mergeCell ref="A113:I113"/>
    <mergeCell ref="A45:D45"/>
    <mergeCell ref="A48:D48"/>
    <mergeCell ref="A46:D46"/>
    <mergeCell ref="A47:E47"/>
    <mergeCell ref="A53:F53"/>
    <mergeCell ref="A52:F52"/>
    <mergeCell ref="A51:F51"/>
    <mergeCell ref="A50:F50"/>
    <mergeCell ref="A49:F49"/>
    <mergeCell ref="A1:H1"/>
    <mergeCell ref="E4:H4"/>
    <mergeCell ref="A44:D44"/>
    <mergeCell ref="G21:H21"/>
    <mergeCell ref="A37:E37"/>
    <mergeCell ref="G23:H23"/>
    <mergeCell ref="E2:H3"/>
    <mergeCell ref="A41:C41"/>
    <mergeCell ref="F40:F41"/>
    <mergeCell ref="G18:H20"/>
    <mergeCell ref="A42:D42"/>
    <mergeCell ref="A43:D43"/>
    <mergeCell ref="A40:D40"/>
    <mergeCell ref="G26:H26"/>
    <mergeCell ref="G29:H29"/>
    <mergeCell ref="G30:H30"/>
    <mergeCell ref="G25:H25"/>
    <mergeCell ref="H40:H41"/>
    <mergeCell ref="G31:H31"/>
    <mergeCell ref="G22:H22"/>
    <mergeCell ref="A36:E36"/>
  </mergeCells>
  <phoneticPr fontId="54" type="noConversion"/>
  <dataValidations count="6">
    <dataValidation type="list" allowBlank="1" showInputMessage="1" showErrorMessage="1" sqref="D41">
      <formula1>"ESTIMATES, TENDER VALUES"</formula1>
    </dataValidation>
    <dataValidation type="list" allowBlank="1" showInputMessage="1" showErrorMessage="1" sqref="F36:F39">
      <formula1>"N,Y"</formula1>
    </dataValidation>
    <dataValidation type="list" allowBlank="1" showInputMessage="1" showErrorMessage="1" sqref="D34">
      <formula1>"Y,N"</formula1>
    </dataValidation>
    <dataValidation type="list" allowBlank="1" showInputMessage="1" showErrorMessage="1" sqref="D32:E32">
      <formula1>"INCEPTION,PRELIMINARY DESIGN: CONCEPT &amp; VIABILITY, DETAIL DESIGN &amp; DOCUMENTATION &amp; PROCUREMENT, CONTRACT ADMINISTRATION &amp; INSPECTION, CLOSE-OUT"</formula1>
    </dataValidation>
    <dataValidation type="list" allowBlank="1" showInputMessage="1" showErrorMessage="1" sqref="D10">
      <formula1>"MULTIDISCIPLINARY PROJECT,ENGINEERING PROJECT"</formula1>
    </dataValidation>
    <dataValidation type="list" allowBlank="1" showInputMessage="1" showErrorMessage="1" sqref="D11">
      <formula1>"YES,NO"</formula1>
    </dataValidation>
  </dataValidations>
  <printOptions horizontalCentered="1"/>
  <pageMargins left="0.55118110236220474" right="0.55118110236220474" top="0.78740157480314965" bottom="0.78740157480314965" header="0.51181102362204722" footer="0.51181102362204722"/>
  <pageSetup paperSize="9" scale="58" orientation="portrait" horizontalDpi="4294967294" r:id="rId1"/>
  <headerFooter alignWithMargins="0">
    <oddFooter>&amp;L&amp;8&amp;F Rev 1 of 310805&amp;C&amp;8&amp;A&amp;R&amp;8&amp;D</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1"/>
  </sheetPr>
  <dimension ref="A1:P126"/>
  <sheetViews>
    <sheetView topLeftCell="A4" zoomScale="70" zoomScaleNormal="75" zoomScaleSheetLayoutView="75" workbookViewId="0">
      <selection activeCell="G108" sqref="G108"/>
    </sheetView>
  </sheetViews>
  <sheetFormatPr defaultRowHeight="15" x14ac:dyDescent="0.2"/>
  <cols>
    <col min="1" max="1" width="15.77734375" customWidth="1"/>
    <col min="2" max="2" width="13.77734375" customWidth="1"/>
    <col min="3" max="3" width="9.33203125" bestFit="1" customWidth="1"/>
    <col min="5" max="5" width="4.109375" customWidth="1"/>
    <col min="6" max="6" width="2.6640625" customWidth="1"/>
    <col min="7" max="7" width="8" customWidth="1"/>
    <col min="8" max="8" width="8.5546875" customWidth="1"/>
    <col min="9" max="9" width="10.44140625" customWidth="1"/>
    <col min="10" max="10" width="3.109375" customWidth="1"/>
    <col min="11" max="11" width="15.5546875" customWidth="1"/>
    <col min="12" max="12" width="3.77734375" customWidth="1"/>
    <col min="13" max="13" width="11.77734375" customWidth="1"/>
    <col min="14" max="14" width="8.109375" customWidth="1"/>
    <col min="15" max="15" width="16.21875" customWidth="1"/>
    <col min="16" max="16" width="19" bestFit="1" customWidth="1"/>
  </cols>
  <sheetData>
    <row r="1" spans="1:16" ht="42.75" customHeight="1" thickTop="1" x14ac:dyDescent="0.2">
      <c r="A1" s="408"/>
      <c r="B1" s="409"/>
      <c r="C1" s="410"/>
      <c r="D1" s="371"/>
      <c r="E1" s="370"/>
      <c r="F1" s="370"/>
      <c r="G1" s="371"/>
      <c r="H1" s="371"/>
      <c r="I1" s="345" t="s">
        <v>101</v>
      </c>
      <c r="J1" s="372"/>
      <c r="K1" s="372"/>
      <c r="L1" s="372"/>
      <c r="M1" s="372"/>
      <c r="N1" s="372"/>
      <c r="O1" s="373"/>
    </row>
    <row r="2" spans="1:16" ht="29.25" customHeight="1" x14ac:dyDescent="0.2">
      <c r="A2" s="490" t="s">
        <v>294</v>
      </c>
      <c r="B2" s="412"/>
      <c r="C2" s="62"/>
      <c r="D2" s="1811" t="s">
        <v>251</v>
      </c>
      <c r="E2" s="1725"/>
      <c r="F2" s="1725"/>
      <c r="G2" s="1725"/>
      <c r="H2" s="1725"/>
      <c r="I2" s="1725"/>
      <c r="J2" s="1725"/>
      <c r="K2" s="481" t="str">
        <f>IF('Input Data'!$E$10="e",'Input Data'!E4,"USE OTHER INVOICE")</f>
        <v>USE OTHER INVOICE</v>
      </c>
      <c r="L2" s="374"/>
      <c r="M2" s="374"/>
      <c r="N2" s="375"/>
      <c r="O2" s="502" t="str">
        <f>'Input Data'!H5</f>
        <v>Version: 1.1  2012-10</v>
      </c>
    </row>
    <row r="3" spans="1:16" ht="13.5" customHeight="1" x14ac:dyDescent="0.2">
      <c r="A3" s="411"/>
      <c r="B3" s="412"/>
      <c r="C3" s="62"/>
      <c r="D3" s="459"/>
      <c r="E3" s="460"/>
      <c r="F3" s="460"/>
      <c r="G3" s="460"/>
      <c r="H3" s="460"/>
      <c r="I3" s="460"/>
      <c r="J3" s="460"/>
      <c r="K3" s="481"/>
      <c r="L3" s="374"/>
      <c r="M3" s="374"/>
      <c r="N3" s="375"/>
      <c r="O3" s="376"/>
    </row>
    <row r="4" spans="1:16" ht="17.25" customHeight="1" x14ac:dyDescent="0.2">
      <c r="A4" s="318"/>
      <c r="B4" s="62"/>
      <c r="C4" s="62"/>
      <c r="D4" s="62"/>
      <c r="E4" s="62"/>
      <c r="F4" s="124"/>
      <c r="G4" s="124"/>
      <c r="H4" s="62"/>
      <c r="I4" s="121" t="s">
        <v>612</v>
      </c>
      <c r="J4" s="1810">
        <f>'Input Data'!D29</f>
        <v>0</v>
      </c>
      <c r="K4" s="1698"/>
      <c r="L4" s="62"/>
      <c r="M4" s="121" t="s">
        <v>107</v>
      </c>
      <c r="N4" s="1812">
        <f>'Input Data'!D28</f>
        <v>0</v>
      </c>
      <c r="O4" s="1813"/>
    </row>
    <row r="5" spans="1:16" ht="15" customHeight="1" thickBot="1" x14ac:dyDescent="0.3">
      <c r="A5" s="354" t="s">
        <v>213</v>
      </c>
      <c r="B5" s="357">
        <f>'Input Data'!D7</f>
        <v>0</v>
      </c>
      <c r="C5" s="62"/>
      <c r="D5" s="62"/>
      <c r="E5" s="465" t="s">
        <v>225</v>
      </c>
      <c r="F5" s="1809">
        <f>'Input Data'!D8</f>
        <v>0</v>
      </c>
      <c r="G5" s="1747"/>
      <c r="H5" s="413"/>
      <c r="I5" s="62"/>
      <c r="J5" s="62"/>
      <c r="K5" s="487"/>
      <c r="L5" s="121" t="s">
        <v>197</v>
      </c>
      <c r="M5" s="1746">
        <f>'Input Data'!D9</f>
        <v>0</v>
      </c>
      <c r="N5" s="1747"/>
      <c r="O5" s="1808"/>
      <c r="P5" s="247"/>
    </row>
    <row r="6" spans="1:16" ht="20.25" customHeight="1" thickTop="1" thickBot="1" x14ac:dyDescent="0.25">
      <c r="A6" s="368" t="s">
        <v>19</v>
      </c>
      <c r="B6" s="1741">
        <f>'Input Data'!$D$12</f>
        <v>0</v>
      </c>
      <c r="C6" s="1742"/>
      <c r="D6" s="1742"/>
      <c r="E6" s="1743"/>
      <c r="F6" s="1743"/>
      <c r="G6" s="1743"/>
      <c r="H6" s="1742"/>
      <c r="I6" s="1742"/>
      <c r="J6" s="1742"/>
      <c r="K6" s="1742"/>
      <c r="L6" s="1744"/>
      <c r="M6" s="1745"/>
      <c r="N6" s="1745"/>
      <c r="O6" s="360"/>
    </row>
    <row r="7" spans="1:16" ht="18.75" customHeight="1" thickTop="1" x14ac:dyDescent="0.2">
      <c r="A7" s="352" t="s">
        <v>178</v>
      </c>
      <c r="B7" s="1749" t="str">
        <f>'Input Data'!G18</f>
        <v>NATIONAL DEPARTMENT OF PUBLIC WORKS</v>
      </c>
      <c r="C7" s="1750"/>
      <c r="D7" s="1750"/>
      <c r="E7" s="1750"/>
      <c r="F7" s="1750"/>
      <c r="G7" s="1750"/>
      <c r="H7" s="62"/>
      <c r="I7" s="121" t="s">
        <v>185</v>
      </c>
      <c r="J7" s="463">
        <f>'Input Data'!D6</f>
        <v>0</v>
      </c>
      <c r="K7" s="62"/>
      <c r="L7" s="12"/>
      <c r="M7" s="274" t="s">
        <v>184</v>
      </c>
      <c r="N7" s="485" t="s">
        <v>295</v>
      </c>
      <c r="O7" s="419"/>
    </row>
    <row r="8" spans="1:16" ht="15" customHeight="1" x14ac:dyDescent="0.2">
      <c r="A8" s="352" t="s">
        <v>18</v>
      </c>
      <c r="B8" s="1751">
        <f>'Input Data'!G21</f>
        <v>0</v>
      </c>
      <c r="C8" s="1752"/>
      <c r="D8" s="1752"/>
      <c r="E8" s="1748"/>
      <c r="F8" s="1725"/>
      <c r="G8" s="1725"/>
      <c r="H8" s="62"/>
      <c r="I8" s="121" t="s">
        <v>175</v>
      </c>
      <c r="J8" s="414">
        <f>'Input Data'!G22</f>
        <v>0</v>
      </c>
      <c r="K8" s="415"/>
      <c r="L8" s="416"/>
      <c r="M8" s="62"/>
      <c r="N8" s="121" t="s">
        <v>194</v>
      </c>
      <c r="O8" s="358">
        <f>'Input Data'!G23</f>
        <v>0</v>
      </c>
    </row>
    <row r="9" spans="1:16" ht="15" customHeight="1" x14ac:dyDescent="0.2">
      <c r="A9" s="352" t="s">
        <v>260</v>
      </c>
      <c r="B9" s="1720" t="s">
        <v>353</v>
      </c>
      <c r="C9" s="1721"/>
      <c r="D9" s="1721"/>
      <c r="E9" s="1721"/>
      <c r="F9" s="1721"/>
      <c r="G9" s="1721"/>
      <c r="H9" s="121" t="s">
        <v>196</v>
      </c>
      <c r="I9" s="1720">
        <f>'Input Data'!G27</f>
        <v>0</v>
      </c>
      <c r="J9" s="1721"/>
      <c r="K9" s="1721"/>
      <c r="L9" s="1721"/>
      <c r="M9" s="1721"/>
      <c r="N9" s="121" t="s">
        <v>194</v>
      </c>
      <c r="O9" s="358">
        <f>'Input Data'!G28</f>
        <v>0</v>
      </c>
    </row>
    <row r="10" spans="1:16" ht="15" customHeight="1" x14ac:dyDescent="0.2">
      <c r="A10" s="352" t="s">
        <v>194</v>
      </c>
      <c r="B10" s="1722">
        <f>'Input Data'!G28</f>
        <v>0</v>
      </c>
      <c r="C10" s="1721"/>
      <c r="D10" s="450"/>
      <c r="E10" s="451"/>
      <c r="F10" s="62"/>
      <c r="G10" s="62"/>
      <c r="H10" s="121" t="s">
        <v>186</v>
      </c>
      <c r="I10" s="1720">
        <f>'Input Data'!G29</f>
        <v>0</v>
      </c>
      <c r="J10" s="1721"/>
      <c r="K10" s="1721"/>
      <c r="L10" s="14" t="s">
        <v>190</v>
      </c>
      <c r="M10" s="356">
        <f>'Input Data'!G30</f>
        <v>0</v>
      </c>
      <c r="N10" s="121" t="s">
        <v>301</v>
      </c>
      <c r="O10" s="486">
        <f>'Input Data'!G9</f>
        <v>0</v>
      </c>
    </row>
    <row r="11" spans="1:16" ht="15" customHeight="1" thickBot="1" x14ac:dyDescent="0.25">
      <c r="A11" s="354" t="s">
        <v>191</v>
      </c>
      <c r="B11" s="1746">
        <f>'Input Data'!G6</f>
        <v>0</v>
      </c>
      <c r="C11" s="1739"/>
      <c r="D11" s="270" t="s">
        <v>186</v>
      </c>
      <c r="E11" s="1746">
        <f>'Input Data'!G7</f>
        <v>0</v>
      </c>
      <c r="F11" s="1746"/>
      <c r="G11" s="1746"/>
      <c r="H11" s="270" t="s">
        <v>198</v>
      </c>
      <c r="I11" s="1746">
        <f>'Input Data'!G8</f>
        <v>0</v>
      </c>
      <c r="J11" s="1747"/>
      <c r="K11" s="270" t="s">
        <v>177</v>
      </c>
      <c r="L11" s="1738">
        <f>'Input Data'!G10</f>
        <v>0</v>
      </c>
      <c r="M11" s="1739"/>
      <c r="N11" s="1739"/>
      <c r="O11" s="1740"/>
    </row>
    <row r="12" spans="1:16" ht="23.25" customHeight="1" thickTop="1" x14ac:dyDescent="0.2">
      <c r="A12" s="369" t="s">
        <v>253</v>
      </c>
      <c r="B12" s="350"/>
      <c r="C12" s="12"/>
      <c r="D12" s="63"/>
      <c r="E12" s="350"/>
      <c r="F12" s="350"/>
      <c r="G12" s="350"/>
      <c r="H12" s="14"/>
      <c r="I12" s="350"/>
      <c r="J12" s="62"/>
      <c r="K12" s="121"/>
      <c r="L12" s="355"/>
      <c r="M12" s="12"/>
      <c r="N12" s="12"/>
      <c r="O12" s="26"/>
    </row>
    <row r="13" spans="1:16" ht="15" customHeight="1" x14ac:dyDescent="0.2">
      <c r="A13" s="352" t="s">
        <v>302</v>
      </c>
      <c r="B13" s="1757">
        <f>'Input Data'!$D$13</f>
        <v>0</v>
      </c>
      <c r="C13" s="1758"/>
      <c r="D13" s="1758"/>
      <c r="E13" s="1758"/>
      <c r="F13" s="1758"/>
      <c r="G13" s="1758"/>
      <c r="H13" s="1758"/>
      <c r="I13" s="1758"/>
      <c r="J13" s="1758"/>
      <c r="K13" s="1758"/>
      <c r="L13" s="1758"/>
      <c r="M13" s="274" t="s">
        <v>200</v>
      </c>
      <c r="N13" s="1720">
        <f>'Input Data'!D31</f>
        <v>0</v>
      </c>
      <c r="O13" s="1705"/>
    </row>
    <row r="14" spans="1:16" ht="15" customHeight="1" x14ac:dyDescent="0.2">
      <c r="A14" s="352" t="s">
        <v>134</v>
      </c>
      <c r="B14" s="1759">
        <f>'Input Data'!$D$14</f>
        <v>0</v>
      </c>
      <c r="C14" s="1760"/>
      <c r="D14" s="1760"/>
      <c r="E14" s="1760"/>
      <c r="F14" s="1760"/>
      <c r="G14" s="1760"/>
      <c r="H14" s="1761"/>
      <c r="I14" s="1761"/>
      <c r="J14" s="1761"/>
      <c r="K14" s="1761"/>
      <c r="L14" s="1754"/>
      <c r="M14" s="1754"/>
      <c r="N14" s="121" t="s">
        <v>194</v>
      </c>
      <c r="O14" s="483">
        <f>'Input Data'!H14</f>
        <v>0</v>
      </c>
    </row>
    <row r="15" spans="1:16" ht="15" customHeight="1" x14ac:dyDescent="0.2">
      <c r="A15" s="353" t="s">
        <v>260</v>
      </c>
      <c r="B15" s="1722">
        <f>'Input Data'!D15</f>
        <v>0</v>
      </c>
      <c r="C15" s="1754"/>
      <c r="D15" s="1754"/>
      <c r="E15" s="1754"/>
      <c r="F15" s="1754"/>
      <c r="G15" s="1754"/>
      <c r="H15" s="1754"/>
      <c r="I15" s="1754"/>
      <c r="J15" s="1754"/>
      <c r="K15" s="1754"/>
      <c r="L15" s="1754"/>
      <c r="M15" s="1754"/>
      <c r="N15" s="121" t="s">
        <v>194</v>
      </c>
      <c r="O15" s="484">
        <f>'Input Data'!H15</f>
        <v>0</v>
      </c>
    </row>
    <row r="16" spans="1:16" ht="15" customHeight="1" x14ac:dyDescent="0.2">
      <c r="A16" s="1723" t="s">
        <v>93</v>
      </c>
      <c r="B16" s="1724"/>
      <c r="C16" s="1726">
        <f>IF('Input Data'!E18="None","NOT REGISTERED FOR VAT",'Input Data'!D18)</f>
        <v>0</v>
      </c>
      <c r="D16" s="1727"/>
      <c r="E16" s="1727"/>
      <c r="F16" s="1728"/>
      <c r="G16" s="418"/>
      <c r="H16" s="418"/>
      <c r="I16" s="62"/>
      <c r="J16" s="62"/>
      <c r="K16" s="62"/>
      <c r="L16" s="62"/>
      <c r="M16" s="62"/>
      <c r="N16" s="62"/>
      <c r="O16" s="419"/>
      <c r="P16" s="267"/>
    </row>
    <row r="17" spans="1:15" ht="15" customHeight="1" x14ac:dyDescent="0.2">
      <c r="A17" s="1765" t="s">
        <v>127</v>
      </c>
      <c r="B17" s="1724"/>
      <c r="C17" s="1762">
        <f>'Input Data'!D19</f>
        <v>0</v>
      </c>
      <c r="D17" s="1763"/>
      <c r="E17" s="1763"/>
      <c r="F17" s="1764"/>
      <c r="G17" s="14"/>
      <c r="H17" s="1755"/>
      <c r="I17" s="1804"/>
      <c r="J17" s="12"/>
      <c r="K17" s="121" t="s">
        <v>186</v>
      </c>
      <c r="L17" s="1722">
        <f>'Input Data'!D16</f>
        <v>0</v>
      </c>
      <c r="M17" s="1722"/>
      <c r="N17" s="1722"/>
      <c r="O17" s="26"/>
    </row>
    <row r="18" spans="1:15" ht="15" customHeight="1" x14ac:dyDescent="0.2">
      <c r="A18" s="1723" t="s">
        <v>28</v>
      </c>
      <c r="B18" s="1724"/>
      <c r="C18" s="1731">
        <f>'Input Data'!$D$20</f>
        <v>0</v>
      </c>
      <c r="D18" s="1732"/>
      <c r="E18" s="422"/>
      <c r="F18" s="423"/>
      <c r="G18" s="14"/>
      <c r="H18" s="1755"/>
      <c r="I18" s="1756"/>
      <c r="J18" s="12"/>
      <c r="K18" s="121" t="s">
        <v>199</v>
      </c>
      <c r="L18" s="1753">
        <f>'Input Data'!F16</f>
        <v>0</v>
      </c>
      <c r="M18" s="1754"/>
      <c r="N18" s="1754"/>
      <c r="O18" s="419"/>
    </row>
    <row r="19" spans="1:15" ht="15" customHeight="1" x14ac:dyDescent="0.2">
      <c r="A19" s="1723" t="s">
        <v>265</v>
      </c>
      <c r="B19" s="1725"/>
      <c r="C19" s="1729">
        <f>'Input Data'!D30</f>
        <v>0</v>
      </c>
      <c r="D19" s="1730"/>
      <c r="E19" s="1730"/>
      <c r="F19" s="1730"/>
      <c r="G19" s="1696"/>
      <c r="H19" s="1755"/>
      <c r="I19" s="1756"/>
      <c r="J19" s="12"/>
      <c r="K19" s="121" t="s">
        <v>190</v>
      </c>
      <c r="L19" s="1806">
        <f>'Input Data'!H16</f>
        <v>0</v>
      </c>
      <c r="M19" s="1758"/>
      <c r="N19" s="1758"/>
      <c r="O19" s="419"/>
    </row>
    <row r="20" spans="1:15" ht="15" customHeight="1" thickBot="1" x14ac:dyDescent="0.25">
      <c r="A20" s="1766" t="s">
        <v>29</v>
      </c>
      <c r="B20" s="1767"/>
      <c r="C20" s="1788" t="str">
        <f>'Input Data'!$D$26</f>
        <v>TIME BASED FEES</v>
      </c>
      <c r="D20" s="1787"/>
      <c r="E20" s="1787"/>
      <c r="F20" s="424"/>
      <c r="G20" s="28"/>
      <c r="H20" s="1786"/>
      <c r="I20" s="1787"/>
      <c r="J20" s="11"/>
      <c r="K20" s="270" t="s">
        <v>182</v>
      </c>
      <c r="L20" s="1807">
        <f>'Input Data'!D17</f>
        <v>0</v>
      </c>
      <c r="M20" s="1747"/>
      <c r="N20" s="1747"/>
      <c r="O20" s="1808"/>
    </row>
    <row r="21" spans="1:15" ht="16.5" thickTop="1" x14ac:dyDescent="0.2">
      <c r="A21" s="25" t="s">
        <v>205</v>
      </c>
      <c r="B21" s="12"/>
      <c r="C21" s="1782" t="str">
        <f>'Input Data'!D32</f>
        <v>INCEPTION</v>
      </c>
      <c r="D21" s="1783"/>
      <c r="E21" s="1784"/>
      <c r="F21" s="1784"/>
      <c r="G21" s="1784"/>
      <c r="H21" s="1784"/>
      <c r="I21" s="1785"/>
      <c r="J21" s="1805" t="str">
        <f>IF('Input Data'!$E$41=1,"ESTIMATED TOTAL VALUE OF ENGINEERING WORK","TOTAL VALUE OF ENGINEERING WORK")</f>
        <v>ESTIMATED TOTAL VALUE OF ENGINEERING WORK</v>
      </c>
      <c r="K21" s="1804"/>
      <c r="L21" s="1804"/>
      <c r="M21" s="1804"/>
      <c r="N21" s="1804"/>
      <c r="O21" s="728">
        <f>IF('Input Data'!E10="e",IF('Input Data'!$E$41=1,80%*'Input Data'!$H$46,'Input Data'!$H$46),0)</f>
        <v>0</v>
      </c>
    </row>
    <row r="22" spans="1:15" ht="27" customHeight="1" thickBot="1" x14ac:dyDescent="0.25">
      <c r="A22" s="1800"/>
      <c r="B22" s="1801"/>
      <c r="C22" s="81"/>
      <c r="D22" s="81"/>
      <c r="E22" s="81"/>
      <c r="F22" s="81"/>
      <c r="G22" s="81"/>
      <c r="H22" s="28"/>
      <c r="I22" s="251"/>
      <c r="J22" s="1802" t="str">
        <f>IF('Input Data'!$E$41=1,"ESTIMATED TOTAL VALUE OF PROJECT","TOTAL VALUE OF PROJECT")</f>
        <v>ESTIMATED TOTAL VALUE OF PROJECT</v>
      </c>
      <c r="K22" s="1803"/>
      <c r="L22" s="1803"/>
      <c r="M22" s="1803"/>
      <c r="N22" s="1803"/>
      <c r="O22" s="729">
        <f>IF('Input Data'!E10="e",IF('Input Data'!$E$41=1,80%*'Input Data'!$H$48,'Input Data'!$H$48),0)</f>
        <v>0</v>
      </c>
    </row>
    <row r="23" spans="1:15" ht="16.5" thickTop="1" thickBot="1" x14ac:dyDescent="0.25">
      <c r="A23" s="268" t="s">
        <v>183</v>
      </c>
      <c r="B23" s="12"/>
      <c r="C23" s="13"/>
      <c r="D23" s="258"/>
      <c r="E23" s="258"/>
      <c r="F23" s="258"/>
      <c r="G23" s="259"/>
      <c r="H23" s="260"/>
      <c r="I23" s="66">
        <f>IF('Input Data'!E10="E",VLOOKUP($O$21,SCALE_2012EE,3),0)</f>
        <v>0</v>
      </c>
      <c r="J23" s="271" t="s">
        <v>97</v>
      </c>
      <c r="K23" s="272">
        <f>IF('Input Data'!E10="E",VLOOKUP($O$21,SCALE_2012EE,4),0)</f>
        <v>0</v>
      </c>
      <c r="L23" s="67" t="s">
        <v>1</v>
      </c>
      <c r="M23" s="68">
        <f>IF('Input Data'!E10="E",O21-(VLOOKUP($O$21,SCALE_2012EE,1)),0)</f>
        <v>0</v>
      </c>
      <c r="N23" s="67" t="s">
        <v>3</v>
      </c>
      <c r="O23" s="730">
        <f>I23+K23*M23</f>
        <v>0</v>
      </c>
    </row>
    <row r="24" spans="1:15" ht="15.75" thickBot="1" x14ac:dyDescent="0.25">
      <c r="A24" s="323"/>
      <c r="B24" s="11"/>
      <c r="C24" s="11"/>
      <c r="D24" s="11"/>
      <c r="E24" s="11"/>
      <c r="F24" s="11"/>
      <c r="G24" s="324"/>
      <c r="H24" s="325"/>
      <c r="I24" s="326"/>
      <c r="J24" s="326"/>
      <c r="K24" s="327"/>
      <c r="L24" s="328"/>
      <c r="M24" s="329" t="s">
        <v>26</v>
      </c>
      <c r="N24" s="330"/>
      <c r="O24" s="731">
        <f>O23</f>
        <v>0</v>
      </c>
    </row>
    <row r="25" spans="1:15" ht="9.75" customHeight="1" thickTop="1" x14ac:dyDescent="0.2">
      <c r="A25" s="264"/>
      <c r="B25" s="12"/>
      <c r="C25" s="12"/>
      <c r="D25" s="12"/>
      <c r="E25" s="12"/>
      <c r="F25" s="12"/>
      <c r="G25" s="13"/>
      <c r="H25" s="260"/>
      <c r="I25" s="261"/>
      <c r="J25" s="261"/>
      <c r="K25" s="262"/>
      <c r="L25" s="265"/>
      <c r="M25" s="266"/>
      <c r="N25" s="263"/>
      <c r="O25" s="732"/>
    </row>
    <row r="26" spans="1:15" ht="18" x14ac:dyDescent="0.2">
      <c r="A26" s="315" t="s">
        <v>220</v>
      </c>
      <c r="B26" s="47"/>
      <c r="C26" s="47"/>
      <c r="D26" s="47"/>
      <c r="E26" s="47"/>
      <c r="F26" s="62"/>
      <c r="G26" s="62"/>
      <c r="H26" s="62"/>
      <c r="I26" s="62"/>
      <c r="J26" s="62"/>
      <c r="K26" s="62"/>
      <c r="L26" s="62"/>
      <c r="M26" s="62"/>
      <c r="N26" s="62"/>
      <c r="O26" s="733"/>
    </row>
    <row r="27" spans="1:15" ht="15.75" customHeight="1" x14ac:dyDescent="0.2">
      <c r="A27" s="46" t="s">
        <v>138</v>
      </c>
      <c r="B27" s="62"/>
      <c r="C27" s="62"/>
      <c r="D27" s="62"/>
      <c r="E27" s="62"/>
      <c r="F27" s="62"/>
      <c r="G27" s="62"/>
      <c r="H27" s="62"/>
      <c r="I27" s="62"/>
      <c r="J27" s="62"/>
      <c r="K27" s="62"/>
      <c r="L27" s="62"/>
      <c r="M27" s="62"/>
      <c r="N27" s="62"/>
      <c r="O27" s="734">
        <f>O95</f>
        <v>0</v>
      </c>
    </row>
    <row r="28" spans="1:15" ht="8.25" customHeight="1" x14ac:dyDescent="0.2">
      <c r="A28" s="318"/>
      <c r="B28" s="62"/>
      <c r="C28" s="62"/>
      <c r="D28" s="62"/>
      <c r="E28" s="62"/>
      <c r="F28" s="62"/>
      <c r="G28" s="62"/>
      <c r="H28" s="62"/>
      <c r="I28" s="62"/>
      <c r="J28" s="62"/>
      <c r="K28" s="62"/>
      <c r="L28" s="62"/>
      <c r="M28" s="62"/>
      <c r="N28" s="62"/>
      <c r="O28" s="734"/>
    </row>
    <row r="29" spans="1:15" x14ac:dyDescent="0.2">
      <c r="A29" s="331" t="s">
        <v>139</v>
      </c>
      <c r="B29" s="33"/>
      <c r="C29" s="62"/>
      <c r="D29" s="62"/>
      <c r="E29" s="44"/>
      <c r="F29" s="62"/>
      <c r="G29" s="62"/>
      <c r="H29" s="62"/>
      <c r="I29" s="62"/>
      <c r="J29" s="62"/>
      <c r="K29" s="62"/>
      <c r="L29" s="62"/>
      <c r="M29" s="62"/>
      <c r="N29" s="62"/>
      <c r="O29" s="734">
        <f>O98</f>
        <v>0</v>
      </c>
    </row>
    <row r="30" spans="1:15" ht="8.25" customHeight="1" x14ac:dyDescent="0.2">
      <c r="A30" s="318"/>
      <c r="B30" s="62"/>
      <c r="C30" s="62"/>
      <c r="D30" s="62"/>
      <c r="E30" s="36"/>
      <c r="F30" s="62"/>
      <c r="G30" s="62"/>
      <c r="H30" s="62"/>
      <c r="I30" s="62"/>
      <c r="J30" s="62"/>
      <c r="K30" s="62"/>
      <c r="L30" s="62"/>
      <c r="M30" s="62"/>
      <c r="N30" s="62"/>
      <c r="O30" s="734"/>
    </row>
    <row r="31" spans="1:15" x14ac:dyDescent="0.2">
      <c r="A31" s="332" t="s">
        <v>105</v>
      </c>
      <c r="B31" s="33"/>
      <c r="C31" s="33"/>
      <c r="D31" s="33"/>
      <c r="E31" s="36"/>
      <c r="F31" s="62"/>
      <c r="G31" s="62"/>
      <c r="H31" s="62"/>
      <c r="I31" s="62"/>
      <c r="J31" s="62"/>
      <c r="K31" s="62"/>
      <c r="L31" s="62"/>
      <c r="M31" s="62"/>
      <c r="N31" s="62"/>
      <c r="O31" s="734">
        <f>O101</f>
        <v>0</v>
      </c>
    </row>
    <row r="32" spans="1:15" ht="9" customHeight="1" x14ac:dyDescent="0.2">
      <c r="A32" s="319"/>
      <c r="B32" s="320"/>
      <c r="C32" s="320"/>
      <c r="D32" s="320"/>
      <c r="E32" s="36"/>
      <c r="F32" s="62"/>
      <c r="G32" s="62"/>
      <c r="H32" s="62"/>
      <c r="I32" s="62"/>
      <c r="J32" s="62"/>
      <c r="K32" s="62"/>
      <c r="L32" s="62"/>
      <c r="M32" s="62"/>
      <c r="N32" s="62"/>
      <c r="O32" s="734"/>
    </row>
    <row r="33" spans="1:15" x14ac:dyDescent="0.2">
      <c r="A33" s="332" t="s">
        <v>144</v>
      </c>
      <c r="B33" s="33"/>
      <c r="C33" s="33"/>
      <c r="D33" s="33"/>
      <c r="E33" s="48"/>
      <c r="F33" s="62"/>
      <c r="G33" s="62"/>
      <c r="H33" s="62"/>
      <c r="I33" s="62"/>
      <c r="J33" s="62"/>
      <c r="K33" s="62"/>
      <c r="L33" s="62"/>
      <c r="M33" s="62"/>
      <c r="N33" s="62"/>
      <c r="O33" s="734">
        <f>O104</f>
        <v>0</v>
      </c>
    </row>
    <row r="34" spans="1:15" ht="8.25" customHeight="1" x14ac:dyDescent="0.2">
      <c r="A34" s="50"/>
      <c r="B34" s="56"/>
      <c r="C34" s="56"/>
      <c r="D34" s="56"/>
      <c r="E34" s="56"/>
      <c r="F34" s="79"/>
      <c r="G34" s="79"/>
      <c r="H34" s="79"/>
      <c r="I34" s="79"/>
      <c r="J34" s="79"/>
      <c r="K34" s="79"/>
      <c r="L34" s="79"/>
      <c r="M34" s="79"/>
      <c r="N34" s="79"/>
      <c r="O34" s="735"/>
    </row>
    <row r="35" spans="1:15" ht="15.75" thickBot="1" x14ac:dyDescent="0.25">
      <c r="A35" s="255"/>
      <c r="B35" s="256"/>
      <c r="C35" s="333"/>
      <c r="D35" s="333"/>
      <c r="E35" s="333"/>
      <c r="F35" s="336"/>
      <c r="G35" s="336"/>
      <c r="H35" s="336"/>
      <c r="I35" s="336"/>
      <c r="J35" s="336"/>
      <c r="K35" s="336"/>
      <c r="L35" s="336"/>
      <c r="M35" s="336"/>
      <c r="N35" s="336"/>
      <c r="O35" s="736">
        <f>O106</f>
        <v>0</v>
      </c>
    </row>
    <row r="36" spans="1:15" ht="9" customHeight="1" thickTop="1" x14ac:dyDescent="0.2">
      <c r="A36" s="34"/>
      <c r="B36" s="35"/>
      <c r="C36" s="36"/>
      <c r="D36" s="36"/>
      <c r="E36" s="36"/>
      <c r="F36" s="62"/>
      <c r="G36" s="62"/>
      <c r="H36" s="62"/>
      <c r="I36" s="62"/>
      <c r="J36" s="62"/>
      <c r="K36" s="62"/>
      <c r="L36" s="62"/>
      <c r="M36" s="62"/>
      <c r="N36" s="62"/>
      <c r="O36" s="734"/>
    </row>
    <row r="37" spans="1:15" x14ac:dyDescent="0.2">
      <c r="A37" s="57" t="s">
        <v>27</v>
      </c>
      <c r="B37" s="35"/>
      <c r="C37" s="36"/>
      <c r="D37" s="36"/>
      <c r="E37" s="36"/>
      <c r="F37" s="62"/>
      <c r="G37" s="62"/>
      <c r="H37" s="62"/>
      <c r="I37" s="62"/>
      <c r="J37" s="62"/>
      <c r="K37" s="62"/>
      <c r="L37" s="62"/>
      <c r="M37" s="62"/>
      <c r="N37" s="62"/>
      <c r="O37" s="734">
        <f>O108</f>
        <v>0</v>
      </c>
    </row>
    <row r="38" spans="1:15" ht="15.75" thickBot="1" x14ac:dyDescent="0.25">
      <c r="A38" s="57" t="s">
        <v>218</v>
      </c>
      <c r="B38" s="35"/>
      <c r="C38" s="36"/>
      <c r="D38" s="36"/>
      <c r="E38" s="36"/>
      <c r="F38" s="62"/>
      <c r="G38" s="62"/>
      <c r="H38" s="62"/>
      <c r="I38" s="62"/>
      <c r="J38" s="62"/>
      <c r="K38" s="62"/>
      <c r="L38" s="62"/>
      <c r="M38" s="62"/>
      <c r="N38" s="62"/>
      <c r="O38" s="737">
        <f>O109</f>
        <v>0</v>
      </c>
    </row>
    <row r="39" spans="1:15" ht="15.75" thickBot="1" x14ac:dyDescent="0.25">
      <c r="A39" s="38"/>
      <c r="B39" s="39"/>
      <c r="C39" s="39"/>
      <c r="D39" s="39"/>
      <c r="E39" s="39"/>
      <c r="F39" s="81"/>
      <c r="G39" s="81"/>
      <c r="H39" s="81"/>
      <c r="I39" s="81"/>
      <c r="J39" s="81"/>
      <c r="K39" s="81"/>
      <c r="L39" s="81"/>
      <c r="M39" s="299" t="s">
        <v>222</v>
      </c>
      <c r="N39" s="41"/>
      <c r="O39" s="738">
        <f>O35+O37+O38</f>
        <v>0</v>
      </c>
    </row>
    <row r="40" spans="1:15" ht="18.75" thickTop="1" x14ac:dyDescent="0.2">
      <c r="A40" s="315" t="s">
        <v>221</v>
      </c>
      <c r="B40" s="35"/>
      <c r="C40" s="35"/>
      <c r="D40" s="35"/>
      <c r="E40" s="35"/>
      <c r="F40" s="62"/>
      <c r="G40" s="62"/>
      <c r="H40" s="62"/>
      <c r="I40" s="62"/>
      <c r="J40" s="62"/>
      <c r="K40" s="62"/>
      <c r="L40" s="62"/>
      <c r="M40" s="62"/>
      <c r="N40" s="62"/>
      <c r="O40" s="733"/>
    </row>
    <row r="41" spans="1:15" ht="9.75" customHeight="1" x14ac:dyDescent="0.2">
      <c r="A41" s="42"/>
      <c r="B41" s="35"/>
      <c r="C41" s="35"/>
      <c r="D41" s="35"/>
      <c r="E41" s="35"/>
      <c r="F41" s="62"/>
      <c r="G41" s="62"/>
      <c r="H41" s="62"/>
      <c r="I41" s="62"/>
      <c r="J41" s="62"/>
      <c r="K41" s="62"/>
      <c r="L41" s="62"/>
      <c r="M41" s="62"/>
      <c r="N41" s="62"/>
      <c r="O41" s="733"/>
    </row>
    <row r="42" spans="1:15" x14ac:dyDescent="0.2">
      <c r="A42" s="46" t="s">
        <v>140</v>
      </c>
      <c r="B42" s="62"/>
      <c r="C42" s="62"/>
      <c r="D42" s="62"/>
      <c r="E42" s="43"/>
      <c r="F42" s="62"/>
      <c r="G42" s="62"/>
      <c r="H42" s="62"/>
      <c r="I42" s="62"/>
      <c r="J42" s="62"/>
      <c r="K42" s="62"/>
      <c r="L42" s="62"/>
      <c r="M42" s="62"/>
      <c r="N42" s="62"/>
      <c r="O42" s="734">
        <f>O114</f>
        <v>0</v>
      </c>
    </row>
    <row r="43" spans="1:15" ht="8.25" customHeight="1" x14ac:dyDescent="0.2">
      <c r="A43" s="318"/>
      <c r="B43" s="62"/>
      <c r="C43" s="62"/>
      <c r="D43" s="62"/>
      <c r="E43" s="45"/>
      <c r="F43" s="62"/>
      <c r="G43" s="62"/>
      <c r="H43" s="62"/>
      <c r="I43" s="62"/>
      <c r="J43" s="62"/>
      <c r="K43" s="62"/>
      <c r="L43" s="62"/>
      <c r="M43" s="62"/>
      <c r="N43" s="62"/>
      <c r="O43" s="734"/>
    </row>
    <row r="44" spans="1:15" x14ac:dyDescent="0.2">
      <c r="A44" s="331" t="s">
        <v>139</v>
      </c>
      <c r="B44" s="36"/>
      <c r="C44" s="47"/>
      <c r="D44" s="45"/>
      <c r="E44" s="45"/>
      <c r="F44" s="62"/>
      <c r="G44" s="62"/>
      <c r="H44" s="62"/>
      <c r="I44" s="62"/>
      <c r="J44" s="62"/>
      <c r="K44" s="62"/>
      <c r="L44" s="62"/>
      <c r="M44" s="62"/>
      <c r="N44" s="62"/>
      <c r="O44" s="734">
        <f>O117</f>
        <v>0</v>
      </c>
    </row>
    <row r="45" spans="1:15" ht="9" customHeight="1" x14ac:dyDescent="0.2">
      <c r="A45" s="426"/>
      <c r="B45" s="334"/>
      <c r="C45" s="79"/>
      <c r="D45" s="79"/>
      <c r="E45" s="305"/>
      <c r="F45" s="79"/>
      <c r="G45" s="79"/>
      <c r="H45" s="79"/>
      <c r="I45" s="79"/>
      <c r="J45" s="79"/>
      <c r="K45" s="79"/>
      <c r="L45" s="79"/>
      <c r="M45" s="79"/>
      <c r="N45" s="79"/>
      <c r="O45" s="735"/>
    </row>
    <row r="46" spans="1:15" ht="15.75" thickBot="1" x14ac:dyDescent="0.25">
      <c r="A46" s="335"/>
      <c r="B46" s="336"/>
      <c r="C46" s="336"/>
      <c r="D46" s="336"/>
      <c r="E46" s="337"/>
      <c r="F46" s="336"/>
      <c r="G46" s="336"/>
      <c r="H46" s="336"/>
      <c r="I46" s="336"/>
      <c r="J46" s="336"/>
      <c r="K46" s="336"/>
      <c r="L46" s="336"/>
      <c r="M46" s="336"/>
      <c r="N46" s="299"/>
      <c r="O46" s="739">
        <f>O119</f>
        <v>0</v>
      </c>
    </row>
    <row r="47" spans="1:15" ht="9" customHeight="1" thickTop="1" x14ac:dyDescent="0.2">
      <c r="A47" s="34"/>
      <c r="B47" s="35"/>
      <c r="C47" s="36"/>
      <c r="D47" s="36"/>
      <c r="E47" s="36"/>
      <c r="F47" s="62"/>
      <c r="G47" s="62"/>
      <c r="H47" s="62"/>
      <c r="I47" s="12"/>
      <c r="J47" s="12"/>
      <c r="K47" s="12"/>
      <c r="L47" s="12"/>
      <c r="M47" s="12"/>
      <c r="N47" s="12"/>
      <c r="O47" s="734"/>
    </row>
    <row r="48" spans="1:15" x14ac:dyDescent="0.2">
      <c r="A48" s="57" t="s">
        <v>27</v>
      </c>
      <c r="B48" s="35"/>
      <c r="C48" s="36"/>
      <c r="D48" s="36"/>
      <c r="E48" s="36"/>
      <c r="F48" s="62"/>
      <c r="G48" s="62"/>
      <c r="H48" s="62"/>
      <c r="I48" s="12"/>
      <c r="J48" s="12"/>
      <c r="K48" s="12"/>
      <c r="L48" s="12"/>
      <c r="M48" s="12"/>
      <c r="N48" s="12"/>
      <c r="O48" s="734">
        <f>O121</f>
        <v>0</v>
      </c>
    </row>
    <row r="49" spans="1:16" x14ac:dyDescent="0.2">
      <c r="A49" s="57" t="s">
        <v>218</v>
      </c>
      <c r="B49" s="35"/>
      <c r="C49" s="36"/>
      <c r="D49" s="36"/>
      <c r="E49" s="36"/>
      <c r="F49" s="62"/>
      <c r="G49" s="62"/>
      <c r="H49" s="62"/>
      <c r="I49" s="12"/>
      <c r="J49" s="12"/>
      <c r="K49" s="12"/>
      <c r="L49" s="12"/>
      <c r="M49" s="62"/>
      <c r="N49" s="12"/>
      <c r="O49" s="734">
        <f>O109</f>
        <v>0</v>
      </c>
    </row>
    <row r="50" spans="1:16" ht="6.75" customHeight="1" thickBot="1" x14ac:dyDescent="0.25">
      <c r="A50" s="86"/>
      <c r="B50" s="87"/>
      <c r="C50" s="87"/>
      <c r="D50" s="88"/>
      <c r="E50" s="88"/>
      <c r="F50" s="427"/>
      <c r="G50" s="427"/>
      <c r="H50" s="427"/>
      <c r="I50" s="428"/>
      <c r="J50" s="428"/>
      <c r="K50" s="428"/>
      <c r="L50" s="428"/>
      <c r="M50" s="428"/>
      <c r="N50" s="428"/>
      <c r="O50" s="737"/>
    </row>
    <row r="51" spans="1:16" ht="16.5" thickBot="1" x14ac:dyDescent="0.25">
      <c r="A51" s="343"/>
      <c r="B51" s="126"/>
      <c r="C51" s="126"/>
      <c r="D51" s="126"/>
      <c r="E51" s="126"/>
      <c r="F51" s="378"/>
      <c r="G51" s="378"/>
      <c r="H51" s="378"/>
      <c r="I51" s="429"/>
      <c r="J51" s="429"/>
      <c r="K51" s="429"/>
      <c r="L51" s="429"/>
      <c r="M51" s="344" t="s">
        <v>223</v>
      </c>
      <c r="N51" s="429"/>
      <c r="O51" s="740">
        <f>O124</f>
        <v>0</v>
      </c>
    </row>
    <row r="52" spans="1:16" ht="17.25" thickTop="1" thickBot="1" x14ac:dyDescent="0.25">
      <c r="A52" s="122" t="s">
        <v>21</v>
      </c>
      <c r="B52" s="35"/>
      <c r="C52" s="35"/>
      <c r="D52" s="35"/>
      <c r="E52" s="35"/>
      <c r="F52" s="62"/>
      <c r="G52" s="62"/>
      <c r="H52" s="62"/>
      <c r="I52" s="11"/>
      <c r="J52" s="12"/>
      <c r="K52" s="12"/>
      <c r="L52" s="12"/>
      <c r="M52" s="121" t="s">
        <v>21</v>
      </c>
      <c r="N52" s="12"/>
      <c r="O52" s="741">
        <f>O39+O51</f>
        <v>0</v>
      </c>
    </row>
    <row r="53" spans="1:16" ht="20.25" customHeight="1" thickTop="1" thickBot="1" x14ac:dyDescent="0.25">
      <c r="A53" s="377"/>
      <c r="B53" s="242"/>
      <c r="C53" s="242"/>
      <c r="D53" s="242"/>
      <c r="E53" s="242"/>
      <c r="F53" s="242"/>
      <c r="G53" s="243"/>
      <c r="H53" s="242"/>
      <c r="I53" s="11"/>
      <c r="J53" s="338"/>
      <c r="K53" s="498"/>
      <c r="L53" s="499" t="s">
        <v>165</v>
      </c>
      <c r="M53" s="545">
        <f>ROUND('Input Data'!$D$27/100,2)</f>
        <v>1</v>
      </c>
      <c r="N53" s="500" t="s">
        <v>166</v>
      </c>
      <c r="O53" s="742">
        <f>M53*O125</f>
        <v>0</v>
      </c>
      <c r="P53" s="1455"/>
    </row>
    <row r="54" spans="1:16" ht="18.75" thickTop="1" x14ac:dyDescent="0.2">
      <c r="A54" s="42" t="s">
        <v>137</v>
      </c>
      <c r="B54" s="94"/>
      <c r="C54" s="94"/>
      <c r="D54" s="94"/>
      <c r="E54" s="94"/>
      <c r="F54" s="94"/>
      <c r="G54" s="94"/>
      <c r="H54" s="95"/>
      <c r="I54" s="339"/>
      <c r="J54" s="340"/>
      <c r="K54" s="341"/>
      <c r="L54" s="342"/>
      <c r="M54" s="341"/>
      <c r="N54" s="342"/>
      <c r="O54" s="743"/>
    </row>
    <row r="55" spans="1:16" x14ac:dyDescent="0.2">
      <c r="A55" s="54" t="s">
        <v>150</v>
      </c>
      <c r="B55" s="94"/>
      <c r="C55" s="94"/>
      <c r="D55" s="94"/>
      <c r="E55" s="94"/>
      <c r="F55" s="94"/>
      <c r="G55" s="94"/>
      <c r="H55" s="96" t="s">
        <v>163</v>
      </c>
      <c r="I55" s="62"/>
      <c r="J55" s="97"/>
      <c r="K55" s="98" t="s">
        <v>6</v>
      </c>
      <c r="L55" s="35"/>
      <c r="M55" s="98" t="s">
        <v>219</v>
      </c>
      <c r="N55" s="263" t="s">
        <v>204</v>
      </c>
      <c r="O55" s="721">
        <f>IF('Input Data'!E10="E",IF($O$106&gt;0,0,'Time Based'!$I$22),0)</f>
        <v>0</v>
      </c>
    </row>
    <row r="56" spans="1:16" x14ac:dyDescent="0.2">
      <c r="A56" s="34" t="s">
        <v>98</v>
      </c>
      <c r="B56" s="35"/>
      <c r="C56" s="45">
        <f>IF('Input Data'!$D$34="Y",0.7,1)</f>
        <v>1</v>
      </c>
      <c r="D56" s="45" t="s">
        <v>24</v>
      </c>
      <c r="E56" s="280">
        <f>IF('Input Data'!$F$39="Y",0.06,0)</f>
        <v>0</v>
      </c>
      <c r="F56" s="43" t="s">
        <v>1</v>
      </c>
      <c r="G56" s="281">
        <f>IF('Input Data'!$F$39="y",IF('Input Data'!$F$32=1,0.05,IF('Input Data'!$F$32=2,Scales!$L$5,IF('Input Data'!$F$32=3,Scales!$L$6,IF('Input Data'!$F$32=4,0.9,IF('Input Data'!$F$32=5,1))))),0)</f>
        <v>0</v>
      </c>
      <c r="H56" s="43" t="s">
        <v>2</v>
      </c>
      <c r="I56" s="282">
        <f>IF('Input Data'!$F$39="Y",$O$23,0)</f>
        <v>0</v>
      </c>
      <c r="J56" s="263" t="s">
        <v>204</v>
      </c>
      <c r="K56" s="123">
        <f>IF('Input Data'!E10="E",IF('Input Data'!$F$39="y",(C56*E56*G56*I56),0),0)</f>
        <v>0</v>
      </c>
      <c r="L56" s="35"/>
      <c r="M56" s="98" t="s">
        <v>219</v>
      </c>
      <c r="N56" s="263" t="s">
        <v>204</v>
      </c>
      <c r="O56" s="721">
        <f>IF('Input Data'!E10="E",IF('Input Data'!$F$39="y",IF('Time Based'!$I$22&lt;$K$56,'Time Based'!$I$22,$K$56),0),0)</f>
        <v>0</v>
      </c>
    </row>
    <row r="57" spans="1:16" ht="15.75" thickBot="1" x14ac:dyDescent="0.25">
      <c r="A57" s="34" t="s">
        <v>159</v>
      </c>
      <c r="B57" s="35"/>
      <c r="C57" s="35"/>
      <c r="D57" s="35"/>
      <c r="E57" s="35"/>
      <c r="F57" s="35"/>
      <c r="G57" s="35"/>
      <c r="H57" s="35"/>
      <c r="I57" s="99" t="s">
        <v>44</v>
      </c>
      <c r="J57" s="97"/>
      <c r="K57" s="87"/>
      <c r="L57" s="87"/>
      <c r="M57" s="100" t="s">
        <v>219</v>
      </c>
      <c r="N57" s="302" t="s">
        <v>204</v>
      </c>
      <c r="O57" s="722">
        <f>IF('Input Data'!E10="E",'Time Based'!I52+'Time Based'!I66,0)</f>
        <v>0</v>
      </c>
    </row>
    <row r="58" spans="1:16" ht="15.75" thickBot="1" x14ac:dyDescent="0.25">
      <c r="A58" s="101"/>
      <c r="B58" s="102"/>
      <c r="C58" s="102"/>
      <c r="D58" s="39"/>
      <c r="E58" s="39"/>
      <c r="F58" s="39"/>
      <c r="G58" s="39"/>
      <c r="H58" s="103"/>
      <c r="I58" s="104"/>
      <c r="J58" s="105"/>
      <c r="K58" s="104"/>
      <c r="L58" s="39"/>
      <c r="M58" s="296" t="s">
        <v>324</v>
      </c>
      <c r="N58" s="106"/>
      <c r="O58" s="738">
        <f>IF('Input Data'!E10="e",SUM(O55:O57),0)</f>
        <v>0</v>
      </c>
    </row>
    <row r="59" spans="1:16" ht="19.5" thickTop="1" thickBot="1" x14ac:dyDescent="0.25">
      <c r="A59" s="1158"/>
      <c r="B59" s="1159"/>
      <c r="C59" s="1159"/>
      <c r="D59" s="242"/>
      <c r="E59" s="242"/>
      <c r="F59" s="242"/>
      <c r="G59" s="242"/>
      <c r="H59" s="1160"/>
      <c r="I59" s="1161"/>
      <c r="J59" s="1162"/>
      <c r="K59" s="1161"/>
      <c r="L59" s="242"/>
      <c r="M59" s="1163" t="s">
        <v>344</v>
      </c>
      <c r="N59" s="500"/>
      <c r="O59" s="761">
        <f>IF('Input Data'!E10="E",'Input Data'!H11*'Input Data'!F11,0)</f>
        <v>0</v>
      </c>
    </row>
    <row r="60" spans="1:16" ht="18.75" thickTop="1" x14ac:dyDescent="0.2">
      <c r="A60" s="42" t="s">
        <v>136</v>
      </c>
      <c r="B60" s="35"/>
      <c r="C60" s="35"/>
      <c r="D60" s="35"/>
      <c r="E60" s="35"/>
      <c r="F60" s="35"/>
      <c r="G60" s="35"/>
      <c r="H60" s="35"/>
      <c r="I60" s="35"/>
      <c r="J60" s="35"/>
      <c r="K60" s="35"/>
      <c r="L60" s="35"/>
      <c r="M60" s="107"/>
      <c r="N60" s="108"/>
      <c r="O60" s="721"/>
    </row>
    <row r="61" spans="1:16" x14ac:dyDescent="0.2">
      <c r="A61" s="34" t="s">
        <v>617</v>
      </c>
      <c r="B61" s="35"/>
      <c r="C61" s="244" t="s">
        <v>167</v>
      </c>
      <c r="D61" s="35"/>
      <c r="E61" s="35"/>
      <c r="F61" s="35"/>
      <c r="G61" s="35"/>
      <c r="H61" s="35"/>
      <c r="I61" s="35"/>
      <c r="J61" s="35"/>
      <c r="K61" s="99"/>
      <c r="L61" s="35"/>
      <c r="M61" s="98" t="s">
        <v>219</v>
      </c>
      <c r="N61" s="263" t="s">
        <v>204</v>
      </c>
      <c r="O61" s="744">
        <f>IF('Input Data'!E10="E",'Subsistance &amp; Travelling'!O86,0)</f>
        <v>0</v>
      </c>
    </row>
    <row r="62" spans="1:16" x14ac:dyDescent="0.2">
      <c r="A62" s="34" t="s">
        <v>78</v>
      </c>
      <c r="B62" s="35"/>
      <c r="C62" s="35"/>
      <c r="D62" s="35"/>
      <c r="E62" s="35"/>
      <c r="F62" s="35"/>
      <c r="G62" s="35"/>
      <c r="H62" s="35"/>
      <c r="I62" s="35"/>
      <c r="J62" s="35"/>
      <c r="K62" s="99"/>
      <c r="L62" s="35"/>
      <c r="M62" s="98" t="s">
        <v>219</v>
      </c>
      <c r="N62" s="263" t="s">
        <v>204</v>
      </c>
      <c r="O62" s="744">
        <f>IF('Input Data'!E10="E",'Typing, Duplicating, &amp; Printing'!J63,0)</f>
        <v>0</v>
      </c>
    </row>
    <row r="63" spans="1:16" x14ac:dyDescent="0.2">
      <c r="A63" s="34" t="s">
        <v>608</v>
      </c>
      <c r="B63" s="35"/>
      <c r="C63" s="35"/>
      <c r="D63" s="35"/>
      <c r="E63" s="35"/>
      <c r="F63" s="35"/>
      <c r="G63" s="35"/>
      <c r="H63" s="35"/>
      <c r="I63" s="35"/>
      <c r="J63" s="35"/>
      <c r="K63" s="99"/>
      <c r="L63" s="35"/>
      <c r="M63" s="98" t="s">
        <v>219</v>
      </c>
      <c r="N63" s="263" t="s">
        <v>204</v>
      </c>
      <c r="O63" s="744">
        <f>IF('Input Data'!$E$10="E",'Site staff &amp; Other'!I49,0)</f>
        <v>0</v>
      </c>
    </row>
    <row r="64" spans="1:16" ht="15.75" thickBot="1" x14ac:dyDescent="0.25">
      <c r="A64" s="1439" t="s">
        <v>609</v>
      </c>
      <c r="B64" s="35"/>
      <c r="C64" s="35"/>
      <c r="D64" s="35"/>
      <c r="E64" s="35"/>
      <c r="F64" s="35"/>
      <c r="G64" s="35"/>
      <c r="H64" s="35"/>
      <c r="I64" s="35"/>
      <c r="J64" s="35"/>
      <c r="K64" s="1440"/>
      <c r="L64" s="87"/>
      <c r="M64" s="100" t="s">
        <v>219</v>
      </c>
      <c r="N64" s="302" t="s">
        <v>204</v>
      </c>
      <c r="O64" s="745">
        <f>IF('Input Data'!$E$10="E",'Site staff &amp; Other'!I64,0)</f>
        <v>0</v>
      </c>
    </row>
    <row r="65" spans="1:16" ht="15.75" thickBot="1" x14ac:dyDescent="0.25">
      <c r="A65" s="101"/>
      <c r="B65" s="39"/>
      <c r="C65" s="39"/>
      <c r="D65" s="39"/>
      <c r="E65" s="39"/>
      <c r="F65" s="39"/>
      <c r="G65" s="39"/>
      <c r="H65" s="110"/>
      <c r="I65" s="102"/>
      <c r="J65" s="39"/>
      <c r="K65" s="127"/>
      <c r="L65" s="81"/>
      <c r="M65" s="270" t="s">
        <v>248</v>
      </c>
      <c r="N65" s="102"/>
      <c r="O65" s="746">
        <f>IF('Input Data'!E10="e",SUM(O61:O64),0)</f>
        <v>0</v>
      </c>
      <c r="P65" s="1455"/>
    </row>
    <row r="66" spans="1:16" ht="15.75" thickTop="1" x14ac:dyDescent="0.2">
      <c r="A66" s="111"/>
      <c r="B66" s="112"/>
      <c r="C66" s="112"/>
      <c r="D66" s="35"/>
      <c r="E66" s="35"/>
      <c r="F66" s="35"/>
      <c r="G66" s="35"/>
      <c r="H66" s="35"/>
      <c r="I66" s="245"/>
      <c r="J66" s="246"/>
      <c r="K66" s="246"/>
      <c r="L66" s="246"/>
      <c r="M66" s="297" t="s">
        <v>224</v>
      </c>
      <c r="N66" s="297"/>
      <c r="O66" s="747">
        <f>O53+O58-O59+O65</f>
        <v>0</v>
      </c>
      <c r="P66" s="1456"/>
    </row>
    <row r="67" spans="1:16" ht="18.75" thickBot="1" x14ac:dyDescent="0.25">
      <c r="A67" s="300"/>
      <c r="B67" s="35"/>
      <c r="C67" s="301"/>
      <c r="D67" s="35"/>
      <c r="E67" s="35"/>
      <c r="F67" s="35"/>
      <c r="G67" s="36"/>
      <c r="H67" s="36"/>
      <c r="I67" s="113"/>
      <c r="J67" s="36"/>
      <c r="K67" s="36"/>
      <c r="L67" s="35"/>
      <c r="M67" s="98" t="s">
        <v>95</v>
      </c>
      <c r="N67" s="35"/>
      <c r="O67" s="1441">
        <f>IF('Input Data'!E10="E",ROUND('Previous Claims'!$K$42,2),0)</f>
        <v>0</v>
      </c>
    </row>
    <row r="68" spans="1:16" ht="18" customHeight="1" thickBot="1" x14ac:dyDescent="0.25">
      <c r="A68" s="34"/>
      <c r="B68" s="35"/>
      <c r="C68" s="39"/>
      <c r="D68" s="35"/>
      <c r="E68" s="35"/>
      <c r="F68" s="35"/>
      <c r="G68" s="114"/>
      <c r="H68" s="128"/>
      <c r="I68" s="795"/>
      <c r="J68" s="796"/>
      <c r="K68" s="796"/>
      <c r="L68" s="796"/>
      <c r="M68" s="796" t="str">
        <f>IF($O$66&lt;$O$67,"OVERPAID BY (Ecl Tax)",IF($O$66&gt;$O$67,"FEES NOW DUE EXCLUDING VAT &amp; NON TAXABLE AMOUNT",""))</f>
        <v/>
      </c>
      <c r="N68" s="796"/>
      <c r="O68" s="748">
        <f>O66-O67</f>
        <v>0</v>
      </c>
    </row>
    <row r="69" spans="1:16" ht="15.75" thickTop="1" x14ac:dyDescent="0.2">
      <c r="A69" s="111"/>
      <c r="B69" s="112"/>
      <c r="C69" s="35"/>
      <c r="D69" s="112"/>
      <c r="E69" s="1798" t="s">
        <v>0</v>
      </c>
      <c r="F69" s="1799"/>
      <c r="G69" s="1799"/>
      <c r="H69" s="1799"/>
      <c r="I69" s="115">
        <v>0.14000000000000001</v>
      </c>
      <c r="J69" s="36" t="s">
        <v>22</v>
      </c>
      <c r="K69" s="116">
        <f>IF('Input Data'!E18="none",0,O68)</f>
        <v>0</v>
      </c>
      <c r="L69" s="112"/>
      <c r="M69" s="112"/>
      <c r="N69" s="112"/>
      <c r="O69" s="749">
        <f>IF('Input Data'!E18="none",0,I69*K69)</f>
        <v>0</v>
      </c>
    </row>
    <row r="70" spans="1:16" x14ac:dyDescent="0.2">
      <c r="A70" s="34"/>
      <c r="B70" s="35"/>
      <c r="C70" s="35"/>
      <c r="D70" s="114"/>
      <c r="E70" s="114"/>
      <c r="F70" s="114"/>
      <c r="G70" s="99"/>
      <c r="H70" s="117"/>
      <c r="I70" s="56"/>
      <c r="J70" s="118"/>
      <c r="K70" s="51"/>
      <c r="L70" s="119"/>
      <c r="M70" s="298" t="s">
        <v>106</v>
      </c>
      <c r="N70" s="120"/>
      <c r="O70" s="750">
        <f>IF('Input Data'!E10="E",'Non Taxable'!J21,0)</f>
        <v>0</v>
      </c>
    </row>
    <row r="71" spans="1:16" ht="15.75" thickBot="1" x14ac:dyDescent="0.25">
      <c r="A71" s="255"/>
      <c r="B71" s="256"/>
      <c r="C71" s="256"/>
      <c r="D71" s="256"/>
      <c r="E71" s="256"/>
      <c r="F71" s="256"/>
      <c r="G71" s="256"/>
      <c r="H71" s="257"/>
      <c r="I71" s="793"/>
      <c r="J71" s="794"/>
      <c r="K71" s="794"/>
      <c r="L71" s="794"/>
      <c r="M71" s="794" t="str">
        <f>IF($O$66&lt;$O$67,"AMOUNT TO BE RECOVERED (Incl VAT)",IF($O$66&gt;$O$67,"FEES NOW DUE INCLUDING VAT &amp; NON TAXABLE AMOUNT",""))</f>
        <v/>
      </c>
      <c r="N71" s="794"/>
      <c r="O71" s="751">
        <f>O68+O69+O70</f>
        <v>0</v>
      </c>
    </row>
    <row r="72" spans="1:16" ht="10.5" customHeight="1" thickTop="1" x14ac:dyDescent="0.2">
      <c r="A72" s="565"/>
      <c r="B72" s="566"/>
      <c r="C72" s="567"/>
      <c r="D72" s="567"/>
      <c r="E72" s="568"/>
      <c r="F72" s="567"/>
      <c r="G72" s="567"/>
      <c r="H72" s="567"/>
      <c r="I72" s="569"/>
      <c r="J72" s="570"/>
      <c r="K72" s="570"/>
      <c r="L72" s="570"/>
      <c r="M72" s="571"/>
      <c r="N72" s="572"/>
      <c r="O72" s="573"/>
    </row>
    <row r="73" spans="1:16" ht="15.75" x14ac:dyDescent="0.2">
      <c r="A73" s="615" t="s">
        <v>320</v>
      </c>
      <c r="B73" s="575"/>
      <c r="C73" s="567"/>
      <c r="D73" s="567"/>
      <c r="E73" s="567"/>
      <c r="F73" s="567"/>
      <c r="G73" s="616" t="s">
        <v>321</v>
      </c>
      <c r="H73" s="567"/>
      <c r="I73" s="567"/>
      <c r="J73" s="570"/>
      <c r="K73" s="570"/>
      <c r="L73" s="570"/>
      <c r="M73" s="570"/>
      <c r="N73" s="570"/>
      <c r="O73" s="633"/>
    </row>
    <row r="74" spans="1:16" ht="9" customHeight="1" x14ac:dyDescent="0.2">
      <c r="A74" s="576"/>
      <c r="B74" s="575"/>
      <c r="C74" s="567"/>
      <c r="D74" s="567"/>
      <c r="E74" s="567"/>
      <c r="F74" s="567"/>
      <c r="G74" s="567"/>
      <c r="H74" s="567"/>
      <c r="I74" s="567"/>
      <c r="J74" s="570"/>
      <c r="K74" s="570"/>
      <c r="L74" s="570"/>
      <c r="M74" s="570"/>
      <c r="N74" s="570"/>
      <c r="O74" s="633"/>
    </row>
    <row r="75" spans="1:16" ht="15.75" x14ac:dyDescent="0.2">
      <c r="A75" s="577"/>
      <c r="B75" s="578" t="s">
        <v>227</v>
      </c>
      <c r="C75" s="579"/>
      <c r="D75" s="580"/>
      <c r="E75" s="594"/>
      <c r="F75" s="594"/>
      <c r="G75" s="594"/>
      <c r="H75" s="594"/>
      <c r="I75" s="582"/>
      <c r="J75" s="570"/>
      <c r="K75" s="582"/>
      <c r="L75" s="578" t="s">
        <v>228</v>
      </c>
      <c r="M75" s="583"/>
      <c r="N75" s="583"/>
      <c r="O75" s="634"/>
    </row>
    <row r="76" spans="1:16" ht="9.75" customHeight="1" thickBot="1" x14ac:dyDescent="0.25">
      <c r="A76" s="584"/>
      <c r="B76" s="585"/>
      <c r="C76" s="586"/>
      <c r="D76" s="586"/>
      <c r="E76" s="586" t="s">
        <v>229</v>
      </c>
      <c r="F76" s="586"/>
      <c r="G76" s="586"/>
      <c r="H76" s="586"/>
      <c r="I76" s="587"/>
      <c r="J76" s="588"/>
      <c r="K76" s="588"/>
      <c r="L76" s="588"/>
      <c r="M76" s="588"/>
      <c r="N76" s="588"/>
      <c r="O76" s="635"/>
    </row>
    <row r="77" spans="1:16" ht="15.75" customHeight="1" thickTop="1" x14ac:dyDescent="0.2">
      <c r="A77" s="589" t="s">
        <v>230</v>
      </c>
      <c r="B77" s="566"/>
      <c r="C77" s="567"/>
      <c r="D77" s="581"/>
      <c r="E77" s="581"/>
      <c r="F77" s="567"/>
      <c r="G77" s="581"/>
      <c r="H77" s="581"/>
      <c r="I77" s="568"/>
      <c r="J77" s="590"/>
      <c r="K77" s="567"/>
      <c r="L77" s="590"/>
      <c r="M77" s="567"/>
      <c r="N77" s="590"/>
      <c r="O77" s="591"/>
    </row>
    <row r="78" spans="1:16" x14ac:dyDescent="0.2">
      <c r="A78" s="574" t="s">
        <v>231</v>
      </c>
      <c r="B78" s="575"/>
      <c r="C78" s="567"/>
      <c r="D78" s="581"/>
      <c r="E78" s="581"/>
      <c r="F78" s="567"/>
      <c r="G78" s="581"/>
      <c r="H78" s="581"/>
      <c r="I78" s="567"/>
      <c r="J78" s="590"/>
      <c r="K78" s="567"/>
      <c r="L78" s="590"/>
      <c r="M78" s="567"/>
      <c r="N78" s="590"/>
      <c r="O78" s="591"/>
    </row>
    <row r="79" spans="1:16" ht="9" customHeight="1" x14ac:dyDescent="0.2">
      <c r="A79" s="576"/>
      <c r="B79" s="575"/>
      <c r="C79" s="567"/>
      <c r="D79" s="581"/>
      <c r="E79" s="581"/>
      <c r="F79" s="567"/>
      <c r="G79" s="581"/>
      <c r="H79" s="581"/>
      <c r="I79" s="567"/>
      <c r="J79" s="571"/>
      <c r="K79" s="567"/>
      <c r="L79" s="592"/>
      <c r="M79" s="567"/>
      <c r="N79" s="593"/>
      <c r="O79" s="591"/>
    </row>
    <row r="80" spans="1:16" ht="15.75" x14ac:dyDescent="0.2">
      <c r="A80" s="577"/>
      <c r="B80" s="578" t="s">
        <v>232</v>
      </c>
      <c r="C80" s="579"/>
      <c r="D80" s="594"/>
      <c r="E80" s="594"/>
      <c r="F80" s="580"/>
      <c r="G80" s="594"/>
      <c r="H80" s="594"/>
      <c r="I80" s="583"/>
      <c r="J80" s="617"/>
      <c r="K80" s="581"/>
      <c r="L80" s="578" t="s">
        <v>233</v>
      </c>
      <c r="M80" s="583"/>
      <c r="N80" s="595"/>
      <c r="O80" s="622"/>
    </row>
    <row r="81" spans="1:15" ht="15.75" x14ac:dyDescent="0.2">
      <c r="A81" s="597"/>
      <c r="B81" s="598"/>
      <c r="C81" s="599"/>
      <c r="D81" s="581"/>
      <c r="E81" s="581"/>
      <c r="F81" s="567"/>
      <c r="G81" s="581"/>
      <c r="H81" s="581"/>
      <c r="I81" s="582"/>
      <c r="J81" s="617"/>
      <c r="K81" s="578"/>
      <c r="L81" s="590"/>
      <c r="M81" s="582"/>
      <c r="N81" s="600"/>
      <c r="O81" s="596"/>
    </row>
    <row r="82" spans="1:15" x14ac:dyDescent="0.2">
      <c r="A82" s="618"/>
      <c r="B82" s="619" t="s">
        <v>228</v>
      </c>
      <c r="C82" s="580"/>
      <c r="D82" s="594"/>
      <c r="E82" s="594"/>
      <c r="F82" s="580"/>
      <c r="G82" s="594"/>
      <c r="H82" s="594"/>
      <c r="I82" s="580"/>
      <c r="J82" s="620"/>
      <c r="K82" s="619"/>
      <c r="L82" s="619" t="s">
        <v>228</v>
      </c>
      <c r="M82" s="583"/>
      <c r="N82" s="621"/>
      <c r="O82" s="622"/>
    </row>
    <row r="83" spans="1:15" x14ac:dyDescent="0.2">
      <c r="A83" s="623" t="s">
        <v>322</v>
      </c>
      <c r="B83" s="1715"/>
      <c r="C83" s="1716"/>
      <c r="D83" s="1716"/>
      <c r="E83" s="1716"/>
      <c r="F83" s="1716"/>
      <c r="G83" s="1716"/>
      <c r="H83" s="1716"/>
      <c r="I83" s="1716"/>
      <c r="J83" s="1716"/>
      <c r="K83" s="1716"/>
      <c r="L83" s="1716"/>
      <c r="M83" s="1716"/>
      <c r="N83" s="1716"/>
      <c r="O83" s="1717"/>
    </row>
    <row r="84" spans="1:15" ht="15.75" thickBot="1" x14ac:dyDescent="0.25">
      <c r="A84" s="624"/>
      <c r="B84" s="1718"/>
      <c r="C84" s="1718"/>
      <c r="D84" s="1718"/>
      <c r="E84" s="1718"/>
      <c r="F84" s="1718"/>
      <c r="G84" s="1718"/>
      <c r="H84" s="1718"/>
      <c r="I84" s="1718"/>
      <c r="J84" s="1718"/>
      <c r="K84" s="1718"/>
      <c r="L84" s="1718"/>
      <c r="M84" s="1718"/>
      <c r="N84" s="1718"/>
      <c r="O84" s="1719"/>
    </row>
    <row r="85" spans="1:15" ht="16.5" thickTop="1" x14ac:dyDescent="0.2">
      <c r="A85" s="432" t="s">
        <v>230</v>
      </c>
      <c r="B85" s="433"/>
      <c r="C85" s="434"/>
      <c r="D85" s="371"/>
      <c r="E85" s="371"/>
      <c r="F85" s="434"/>
      <c r="G85" s="371"/>
      <c r="H85" s="371"/>
      <c r="I85" s="434"/>
      <c r="J85" s="371"/>
      <c r="K85" s="433"/>
      <c r="L85" s="371"/>
      <c r="M85" s="434"/>
      <c r="N85" s="435"/>
      <c r="O85" s="1454">
        <f>O89-O71</f>
        <v>0</v>
      </c>
    </row>
    <row r="86" spans="1:15" ht="15.75" x14ac:dyDescent="0.2">
      <c r="A86" s="437" t="s">
        <v>234</v>
      </c>
      <c r="B86" s="438" t="s">
        <v>235</v>
      </c>
      <c r="C86" s="431"/>
      <c r="D86" s="79"/>
      <c r="E86" s="79"/>
      <c r="F86" s="431"/>
      <c r="G86" s="79"/>
      <c r="H86" s="79"/>
      <c r="I86" s="431"/>
      <c r="J86" s="79"/>
      <c r="K86" s="431"/>
      <c r="L86" s="79"/>
      <c r="M86" s="431"/>
      <c r="N86" s="439"/>
      <c r="O86" s="440"/>
    </row>
    <row r="87" spans="1:15" ht="38.25" customHeight="1" x14ac:dyDescent="0.2">
      <c r="A87" s="441" t="s">
        <v>236</v>
      </c>
      <c r="B87" s="442" t="s">
        <v>237</v>
      </c>
      <c r="C87" s="1794" t="s">
        <v>238</v>
      </c>
      <c r="D87" s="1795"/>
      <c r="E87" s="1735" t="s">
        <v>239</v>
      </c>
      <c r="F87" s="1698"/>
      <c r="G87" s="1698"/>
      <c r="H87" s="444" t="s">
        <v>240</v>
      </c>
      <c r="I87" s="1735" t="s">
        <v>241</v>
      </c>
      <c r="J87" s="1793"/>
      <c r="K87" s="443" t="s">
        <v>242</v>
      </c>
      <c r="L87" s="1735" t="s">
        <v>243</v>
      </c>
      <c r="M87" s="1698"/>
      <c r="N87" s="1452" t="s">
        <v>614</v>
      </c>
      <c r="O87" s="1167" t="s">
        <v>244</v>
      </c>
    </row>
    <row r="88" spans="1:15" x14ac:dyDescent="0.2">
      <c r="A88" s="445" t="s">
        <v>245</v>
      </c>
      <c r="B88" s="636">
        <f>'Previous Claims'!M42-C88-E88-H88-I88-L88</f>
        <v>0</v>
      </c>
      <c r="C88" s="1733">
        <f>'Time Based'!I69</f>
        <v>0</v>
      </c>
      <c r="D88" s="1776"/>
      <c r="E88" s="1796">
        <f>'Subsistance &amp; Travelling'!O87</f>
        <v>0</v>
      </c>
      <c r="F88" s="1797"/>
      <c r="G88" s="1797"/>
      <c r="H88" s="638">
        <f>'Typing, Duplicating, &amp; Printing'!J64</f>
        <v>0</v>
      </c>
      <c r="I88" s="1736">
        <f>'Site staff &amp; Other'!I50+'Site staff &amp; Other'!I65</f>
        <v>0</v>
      </c>
      <c r="J88" s="1737"/>
      <c r="K88" s="637">
        <f>'Previous Claims'!I42</f>
        <v>0</v>
      </c>
      <c r="L88" s="1736">
        <f>'Non Taxable'!J20</f>
        <v>0</v>
      </c>
      <c r="M88" s="1737"/>
      <c r="N88" s="1453"/>
      <c r="O88" s="1168">
        <f>B88+C88+E88+H88+I88+K88+L88+M88+N88</f>
        <v>0</v>
      </c>
    </row>
    <row r="89" spans="1:15" x14ac:dyDescent="0.2">
      <c r="A89" s="445" t="s">
        <v>246</v>
      </c>
      <c r="B89" s="636">
        <f>O53-B88</f>
        <v>0</v>
      </c>
      <c r="C89" s="1733">
        <f>O58-C88</f>
        <v>0</v>
      </c>
      <c r="D89" s="1734"/>
      <c r="E89" s="1779">
        <f>O61-E88</f>
        <v>0</v>
      </c>
      <c r="F89" s="1780"/>
      <c r="G89" s="1781"/>
      <c r="H89" s="639">
        <f>O62-H88</f>
        <v>0</v>
      </c>
      <c r="I89" s="1733">
        <f>O63+O64-I88</f>
        <v>0</v>
      </c>
      <c r="J89" s="1734"/>
      <c r="K89" s="637">
        <f>O69</f>
        <v>0</v>
      </c>
      <c r="L89" s="1733">
        <f>O70</f>
        <v>0</v>
      </c>
      <c r="M89" s="1734"/>
      <c r="N89" s="1453">
        <f>-O59</f>
        <v>0</v>
      </c>
      <c r="O89" s="1168">
        <f>B89+C89+E89+H89+I89+K89+L89+M89+N89</f>
        <v>0</v>
      </c>
    </row>
    <row r="90" spans="1:15" x14ac:dyDescent="0.2">
      <c r="A90" s="445" t="s">
        <v>247</v>
      </c>
      <c r="B90" s="636">
        <f>B88+B89</f>
        <v>0</v>
      </c>
      <c r="C90" s="1733">
        <f>C88+C89</f>
        <v>0</v>
      </c>
      <c r="D90" s="1776"/>
      <c r="E90" s="1796">
        <f>E88+E89</f>
        <v>0</v>
      </c>
      <c r="F90" s="1797"/>
      <c r="G90" s="1797"/>
      <c r="H90" s="638">
        <f>H88+H89</f>
        <v>0</v>
      </c>
      <c r="I90" s="1736">
        <f>I88+I89</f>
        <v>0</v>
      </c>
      <c r="J90" s="1737"/>
      <c r="K90" s="637">
        <f>K88+K89</f>
        <v>0</v>
      </c>
      <c r="L90" s="1736">
        <f>L88+L89</f>
        <v>0</v>
      </c>
      <c r="M90" s="1737"/>
      <c r="N90" s="1453">
        <f>N89+N88</f>
        <v>0</v>
      </c>
      <c r="O90" s="1168">
        <f>SUM(B90:N90)</f>
        <v>0</v>
      </c>
    </row>
    <row r="91" spans="1:15" ht="15.75" thickBot="1" x14ac:dyDescent="0.25">
      <c r="A91" s="446" t="s">
        <v>234</v>
      </c>
      <c r="B91" s="493"/>
      <c r="C91" s="1777"/>
      <c r="D91" s="1778"/>
      <c r="E91" s="1713"/>
      <c r="F91" s="1714"/>
      <c r="G91" s="1714"/>
      <c r="H91" s="494"/>
      <c r="I91" s="1791"/>
      <c r="J91" s="1792"/>
      <c r="K91" s="495"/>
      <c r="L91" s="1713"/>
      <c r="M91" s="1714"/>
      <c r="N91" s="1457"/>
      <c r="O91" s="1168">
        <f>SUM(B91:N91)</f>
        <v>0</v>
      </c>
    </row>
    <row r="92" spans="1:15" ht="19.5" thickTop="1" thickBot="1" x14ac:dyDescent="0.25">
      <c r="A92" s="601" t="s">
        <v>263</v>
      </c>
      <c r="B92" s="602"/>
      <c r="C92" s="602"/>
      <c r="D92" s="603"/>
      <c r="E92" s="602"/>
      <c r="F92" s="603"/>
      <c r="G92" s="603"/>
      <c r="H92" s="602"/>
      <c r="I92" s="602"/>
      <c r="J92" s="604"/>
      <c r="K92" s="602"/>
      <c r="L92" s="602"/>
      <c r="M92" s="603"/>
      <c r="N92" s="605"/>
      <c r="O92" s="606"/>
    </row>
    <row r="93" spans="1:15" ht="19.5" thickTop="1" thickBot="1" x14ac:dyDescent="0.25">
      <c r="A93" s="447" t="s">
        <v>249</v>
      </c>
      <c r="B93" s="62"/>
      <c r="C93" s="62"/>
      <c r="D93" s="62"/>
      <c r="E93" s="62"/>
      <c r="F93" s="62"/>
      <c r="G93" s="62"/>
      <c r="H93" s="62"/>
      <c r="I93" s="62"/>
      <c r="J93" s="62"/>
      <c r="K93" s="62"/>
      <c r="L93" s="62"/>
      <c r="M93" s="62"/>
      <c r="N93" s="62"/>
      <c r="O93" s="448"/>
    </row>
    <row r="94" spans="1:15" ht="18.75" thickTop="1" x14ac:dyDescent="0.2">
      <c r="A94" s="314" t="s">
        <v>220</v>
      </c>
      <c r="B94" s="71"/>
      <c r="C94" s="71"/>
      <c r="D94" s="71"/>
      <c r="E94" s="71"/>
      <c r="F94" s="71"/>
      <c r="G94" s="71"/>
      <c r="H94" s="71"/>
      <c r="I94" s="71"/>
      <c r="J94" s="71"/>
      <c r="K94" s="71"/>
      <c r="L94" s="71"/>
      <c r="M94" s="71"/>
      <c r="N94" s="71"/>
      <c r="O94" s="72"/>
    </row>
    <row r="95" spans="1:15" ht="15.75" thickBot="1" x14ac:dyDescent="0.25">
      <c r="A95" s="1768" t="s">
        <v>257</v>
      </c>
      <c r="B95" s="1769"/>
      <c r="C95" s="1769"/>
      <c r="D95" s="1769"/>
      <c r="E95" s="1769"/>
      <c r="F95" s="36"/>
      <c r="G95" s="62"/>
      <c r="H95" s="43"/>
      <c r="I95" s="719">
        <f>IF('Input Data'!$F$32=1,0.05,IF('Input Data'!$F$32=2,Scales!$L$5,IF('Input Data'!$F$32=3,Scales!$L$6,IF('Input Data'!$F$32&gt;3,0.5))))</f>
        <v>0.05</v>
      </c>
      <c r="J95" s="67" t="s">
        <v>2</v>
      </c>
      <c r="K95" s="73">
        <f>IF('Input Data'!$E$10="E",'Input Data'!$H$42,0)</f>
        <v>0</v>
      </c>
      <c r="L95" s="70" t="s">
        <v>24</v>
      </c>
      <c r="M95" s="66">
        <f>IF('Input Data'!$H$42&gt;0,$O$24,0)</f>
        <v>0</v>
      </c>
      <c r="N95" s="263" t="s">
        <v>204</v>
      </c>
      <c r="O95" s="720">
        <f>IF('Input Data'!$E$10="E",IF('Input Data'!$H$42&gt;0,IF('Input Data'!$D$34="N",(I95*K95/K96*M95),0),0),0)</f>
        <v>0</v>
      </c>
    </row>
    <row r="96" spans="1:15" x14ac:dyDescent="0.2">
      <c r="A96" s="1770"/>
      <c r="B96" s="1769"/>
      <c r="C96" s="1769"/>
      <c r="D96" s="1769"/>
      <c r="E96" s="1769"/>
      <c r="F96" s="36"/>
      <c r="G96" s="74"/>
      <c r="H96" s="45"/>
      <c r="I96" s="44"/>
      <c r="J96" s="66"/>
      <c r="K96" s="66">
        <f>IF('Input Data'!$E$10="E",IF('Input Data'!$H$42&gt;0,'Input Data'!$H$46,0),0)</f>
        <v>0</v>
      </c>
      <c r="L96" s="70"/>
      <c r="M96" s="66"/>
      <c r="N96" s="69"/>
      <c r="O96" s="720"/>
    </row>
    <row r="97" spans="1:15" x14ac:dyDescent="0.2">
      <c r="A97" s="55"/>
      <c r="B97" s="35"/>
      <c r="C97" s="36"/>
      <c r="D97" s="36"/>
      <c r="E97" s="36"/>
      <c r="F97" s="36"/>
      <c r="G97" s="48"/>
      <c r="H97" s="49"/>
      <c r="I97" s="37"/>
      <c r="J97" s="75"/>
      <c r="K97" s="75"/>
      <c r="L97" s="76"/>
      <c r="M97" s="75"/>
      <c r="N97" s="75"/>
      <c r="O97" s="721"/>
    </row>
    <row r="98" spans="1:15" ht="15.75" thickBot="1" x14ac:dyDescent="0.25">
      <c r="A98" s="1771" t="s">
        <v>139</v>
      </c>
      <c r="B98" s="1789"/>
      <c r="C98" s="1769"/>
      <c r="D98" s="1769"/>
      <c r="E98" s="44"/>
      <c r="F98" s="61"/>
      <c r="G98" s="48">
        <f>IF('Input Data'!$H$43&gt;0,1.25,0)</f>
        <v>0</v>
      </c>
      <c r="H98" s="43" t="s">
        <v>1</v>
      </c>
      <c r="I98" s="719">
        <f>IF('Input Data'!$F$32=1,0.05,IF('Input Data'!$F$32=2,Scales!$L$5,IF('Input Data'!$F$32=3,Scales!$L$6,IF('Input Data'!$F$32&gt;3,0.5))))</f>
        <v>0.05</v>
      </c>
      <c r="J98" s="67" t="s">
        <v>2</v>
      </c>
      <c r="K98" s="73">
        <f>IF('Input Data'!$E$10="E",'Input Data'!$H$43,0)</f>
        <v>0</v>
      </c>
      <c r="L98" s="70" t="s">
        <v>24</v>
      </c>
      <c r="M98" s="66">
        <f>IF('Input Data'!$H$43&gt;0,$O$24,0)</f>
        <v>0</v>
      </c>
      <c r="N98" s="263" t="s">
        <v>204</v>
      </c>
      <c r="O98" s="720">
        <f>IF('Input Data'!$E$10="E",IF('Input Data'!$H$43&gt;0,IF('Input Data'!$D$34="N",(G98*I98*K98/K99*M98),0),0),0)</f>
        <v>0</v>
      </c>
    </row>
    <row r="99" spans="1:15" x14ac:dyDescent="0.2">
      <c r="A99" s="1790"/>
      <c r="B99" s="1756"/>
      <c r="C99" s="1756"/>
      <c r="D99" s="1756"/>
      <c r="E99" s="36"/>
      <c r="F99" s="36"/>
      <c r="G99" s="48"/>
      <c r="H99" s="49"/>
      <c r="I99" s="37"/>
      <c r="J99" s="75"/>
      <c r="K99" s="66">
        <f>IF('Input Data'!$E$10="E",IF('Input Data'!$H$43&gt;0,'Input Data'!$H$46,0),0)</f>
        <v>0</v>
      </c>
      <c r="L99" s="76"/>
      <c r="M99" s="75"/>
      <c r="N99" s="75"/>
      <c r="O99" s="721"/>
    </row>
    <row r="100" spans="1:15" x14ac:dyDescent="0.2">
      <c r="A100" s="8"/>
      <c r="B100" s="9"/>
      <c r="C100" s="9"/>
      <c r="D100" s="9"/>
      <c r="E100" s="36"/>
      <c r="F100" s="36"/>
      <c r="G100" s="48"/>
      <c r="H100" s="49"/>
      <c r="I100" s="44"/>
      <c r="J100" s="67"/>
      <c r="K100" s="77"/>
      <c r="L100" s="76"/>
      <c r="M100" s="77"/>
      <c r="N100" s="75"/>
      <c r="O100" s="721"/>
    </row>
    <row r="101" spans="1:15" ht="15.75" thickBot="1" x14ac:dyDescent="0.25">
      <c r="A101" s="1772" t="s">
        <v>105</v>
      </c>
      <c r="B101" s="1773"/>
      <c r="C101" s="1773"/>
      <c r="D101" s="1773"/>
      <c r="E101" s="36"/>
      <c r="F101" s="36"/>
      <c r="G101" s="48">
        <f>IF('Input Data'!$H$44&gt;0,0.25,0)</f>
        <v>0</v>
      </c>
      <c r="H101" s="49"/>
      <c r="I101" s="719">
        <f>IF('Input Data'!$F$32=1,0.05,IF('Input Data'!$F$32=2,Scales!$L$5,IF('Input Data'!$F$32=3,Scales!$L$6,IF('Input Data'!$F$32&gt;3,0.5))))</f>
        <v>0.05</v>
      </c>
      <c r="J101" s="67" t="s">
        <v>2</v>
      </c>
      <c r="K101" s="73">
        <f>IF('Input Data'!$E$10="E",'Input Data'!$H$44,0)</f>
        <v>0</v>
      </c>
      <c r="L101" s="76" t="s">
        <v>24</v>
      </c>
      <c r="M101" s="66">
        <f>IF('Input Data'!$H$44&gt;0,$O$24,0)</f>
        <v>0</v>
      </c>
      <c r="N101" s="263" t="s">
        <v>204</v>
      </c>
      <c r="O101" s="720">
        <f>IF('Input Data'!$E$10="E",IF('Input Data'!$H$44&gt;0,IF('Input Data'!$D$34="N",(G101*I101*K101/K102*M101),0),0),0)</f>
        <v>0</v>
      </c>
    </row>
    <row r="102" spans="1:15" x14ac:dyDescent="0.2">
      <c r="A102" s="1774"/>
      <c r="B102" s="1775"/>
      <c r="C102" s="1775"/>
      <c r="D102" s="1775"/>
      <c r="E102" s="36"/>
      <c r="F102" s="36"/>
      <c r="G102" s="48"/>
      <c r="H102" s="49"/>
      <c r="I102" s="44"/>
      <c r="J102" s="67"/>
      <c r="K102" s="66">
        <f>IF('Input Data'!$E$10="E",IF('Input Data'!$H$44&gt;0,'Input Data'!$H$46,0),0)</f>
        <v>0</v>
      </c>
      <c r="L102" s="76"/>
      <c r="M102" s="77"/>
      <c r="N102" s="75"/>
      <c r="O102" s="721"/>
    </row>
    <row r="103" spans="1:15" x14ac:dyDescent="0.2">
      <c r="A103" s="34"/>
      <c r="B103" s="35"/>
      <c r="C103" s="36"/>
      <c r="D103" s="36"/>
      <c r="E103" s="36"/>
      <c r="F103" s="36"/>
      <c r="G103" s="48"/>
      <c r="H103" s="49"/>
      <c r="I103" s="44"/>
      <c r="J103" s="67"/>
      <c r="K103" s="77"/>
      <c r="L103" s="76"/>
      <c r="M103" s="77"/>
      <c r="N103" s="75"/>
      <c r="O103" s="721"/>
    </row>
    <row r="104" spans="1:15" ht="15.75" thickBot="1" x14ac:dyDescent="0.25">
      <c r="A104" s="1772" t="s">
        <v>144</v>
      </c>
      <c r="B104" s="1773"/>
      <c r="C104" s="1773"/>
      <c r="D104" s="1773"/>
      <c r="E104" s="48">
        <f>IF('Input Data'!$H$45&gt;0,0.25,0)</f>
        <v>0</v>
      </c>
      <c r="F104" s="43" t="s">
        <v>1</v>
      </c>
      <c r="G104" s="48">
        <f>IF('Input Data'!$H$45&gt;0,1.25,0)</f>
        <v>0</v>
      </c>
      <c r="H104" s="43" t="s">
        <v>1</v>
      </c>
      <c r="I104" s="719">
        <f>IF('Input Data'!$F$32=1,0.05,IF('Input Data'!$F$32=2,Scales!$L$5,IF('Input Data'!$F$32=3,Scales!$L$6,IF('Input Data'!$F$32&gt;3,0.5))))</f>
        <v>0.05</v>
      </c>
      <c r="J104" s="67" t="s">
        <v>2</v>
      </c>
      <c r="K104" s="73">
        <f>IF('Input Data'!$E$10="E",'Input Data'!$H$45,0)</f>
        <v>0</v>
      </c>
      <c r="L104" s="43" t="s">
        <v>1</v>
      </c>
      <c r="M104" s="66">
        <f>IF('Input Data'!$H$45&gt;0,$O$24,0)</f>
        <v>0</v>
      </c>
      <c r="N104" s="263" t="s">
        <v>204</v>
      </c>
      <c r="O104" s="720">
        <f>IF('Input Data'!$E$10="E",IF('Input Data'!$H$45&gt;0,IF('Input Data'!$D$34="N",(E104*G104*I104*K104/K105*M104),0),0),0)</f>
        <v>0</v>
      </c>
    </row>
    <row r="105" spans="1:15" ht="15.75" thickBot="1" x14ac:dyDescent="0.25">
      <c r="A105" s="1774"/>
      <c r="B105" s="1775"/>
      <c r="C105" s="1775"/>
      <c r="D105" s="1775"/>
      <c r="E105" s="33"/>
      <c r="F105" s="33"/>
      <c r="G105" s="48"/>
      <c r="H105" s="49"/>
      <c r="I105" s="44"/>
      <c r="J105" s="75"/>
      <c r="K105" s="66">
        <f>IF('Input Data'!$E$10="E",IF('Input Data'!$H$45&gt;0,'Input Data'!$H$46,0),0)</f>
        <v>0</v>
      </c>
      <c r="L105" s="76"/>
      <c r="M105" s="75"/>
      <c r="N105" s="75"/>
      <c r="O105" s="722"/>
    </row>
    <row r="106" spans="1:15" x14ac:dyDescent="0.2">
      <c r="A106" s="50"/>
      <c r="B106" s="56"/>
      <c r="C106" s="56"/>
      <c r="D106" s="56"/>
      <c r="E106" s="56"/>
      <c r="F106" s="56"/>
      <c r="G106" s="56"/>
      <c r="H106" s="56"/>
      <c r="I106" s="78"/>
      <c r="J106" s="78"/>
      <c r="K106" s="79"/>
      <c r="L106" s="79"/>
      <c r="M106" s="79"/>
      <c r="N106" s="79"/>
      <c r="O106" s="723">
        <f>SUM(O95:O105)</f>
        <v>0</v>
      </c>
    </row>
    <row r="107" spans="1:15" x14ac:dyDescent="0.2">
      <c r="A107" s="34"/>
      <c r="B107" s="35"/>
      <c r="C107" s="36"/>
      <c r="D107" s="36"/>
      <c r="E107" s="36"/>
      <c r="F107" s="36"/>
      <c r="G107" s="36"/>
      <c r="H107" s="36"/>
      <c r="I107" s="53"/>
      <c r="J107" s="43"/>
      <c r="K107" s="53"/>
      <c r="L107" s="67"/>
      <c r="M107" s="66"/>
      <c r="N107" s="67"/>
      <c r="O107" s="721"/>
    </row>
    <row r="108" spans="1:15" x14ac:dyDescent="0.2">
      <c r="A108" s="57" t="s">
        <v>27</v>
      </c>
      <c r="B108" s="35"/>
      <c r="C108" s="36"/>
      <c r="D108" s="36"/>
      <c r="E108" s="36"/>
      <c r="F108" s="36"/>
      <c r="G108" s="1164">
        <f>IF('Input Data'!$F$32=1,1,IF('Input Data'!$F$32&lt;4,'Input Data'!$D$33,1))</f>
        <v>1</v>
      </c>
      <c r="H108" s="1165" t="s">
        <v>24</v>
      </c>
      <c r="I108" s="37">
        <f>IF('Input Data'!$E$10="E",IF('Input Data'!$D$34="N",IF('Input Data'!$F$37="y",0.01,0),0),0)</f>
        <v>0</v>
      </c>
      <c r="J108" s="43" t="s">
        <v>1</v>
      </c>
      <c r="K108" s="719">
        <f>IF('Input Data'!$F$32=1,0.05,IF('Input Data'!$F$32=2,Scales!$L$5,IF('Input Data'!$F$32=3,Scales!$L$6,IF('Input Data'!$F$32&gt;3,0.5))))</f>
        <v>0.05</v>
      </c>
      <c r="L108" s="70" t="s">
        <v>24</v>
      </c>
      <c r="M108" s="75">
        <f>IF('Input Data'!$E$10="E",IF('Input Data'!$D$34="N",IF('Input Data'!$F$37="y",$O$22,0),0),0)</f>
        <v>0</v>
      </c>
      <c r="N108" s="263"/>
      <c r="O108" s="721">
        <f>IF('Input Data'!$D$34="N",IF('Input Data'!$E$10="E",IF($M$108&gt;0,(G108*I108*K108*M108),0),0),0)</f>
        <v>0</v>
      </c>
    </row>
    <row r="109" spans="1:15" ht="15.75" thickBot="1" x14ac:dyDescent="0.25">
      <c r="A109" s="57" t="s">
        <v>218</v>
      </c>
      <c r="B109" s="35"/>
      <c r="C109" s="36"/>
      <c r="D109" s="36"/>
      <c r="E109" s="36"/>
      <c r="F109" s="36"/>
      <c r="G109" s="1164">
        <f>IF('Input Data'!$F$32=1,1,IF('Input Data'!$F$32&lt;4,'Input Data'!$D$33,1))</f>
        <v>1</v>
      </c>
      <c r="H109" s="36"/>
      <c r="I109" s="37">
        <f>IF('Input Data'!E10="E",IF('Input Data'!$D$34="N",IF('Input Data'!$F$38="y",0.07,0),0),0)</f>
        <v>0</v>
      </c>
      <c r="J109" s="43" t="s">
        <v>24</v>
      </c>
      <c r="K109" s="719">
        <f>IF('Input Data'!$F$32=1,0.05,IF('Input Data'!$F$32=2,Scales!$L$5,IF('Input Data'!$F$32=3,Scales!$L$6,IF('Input Data'!$F$32&gt;3,0.5))))</f>
        <v>0.05</v>
      </c>
      <c r="L109" s="70"/>
      <c r="M109" s="75">
        <f>IF('Input Data'!$D$34="N",IF('Input Data'!$E$10="E",IF('Input Data'!$F$38="Y",$O$24,0),0),0)</f>
        <v>0</v>
      </c>
      <c r="N109" s="67"/>
      <c r="O109" s="722">
        <f>IF('Input Data'!$D$34="N",IF('Input Data'!$E$10="E",IF($M$109&gt;0,(G109*I109*K109*M109),0),0),0)</f>
        <v>0</v>
      </c>
    </row>
    <row r="110" spans="1:15" x14ac:dyDescent="0.2">
      <c r="A110" s="57"/>
      <c r="B110" s="35"/>
      <c r="C110" s="36"/>
      <c r="D110" s="36"/>
      <c r="E110" s="36"/>
      <c r="F110" s="36"/>
      <c r="G110" s="36"/>
      <c r="H110" s="36"/>
      <c r="I110" s="37"/>
      <c r="J110" s="43"/>
      <c r="K110" s="44"/>
      <c r="L110" s="70"/>
      <c r="M110" s="75"/>
      <c r="N110" s="67"/>
      <c r="O110" s="721"/>
    </row>
    <row r="111" spans="1:15" ht="15.75" thickBot="1" x14ac:dyDescent="0.25">
      <c r="A111" s="38"/>
      <c r="B111" s="39"/>
      <c r="C111" s="39"/>
      <c r="D111" s="39"/>
      <c r="E111" s="39"/>
      <c r="F111" s="39"/>
      <c r="G111" s="40"/>
      <c r="H111" s="40"/>
      <c r="I111" s="41"/>
      <c r="J111" s="80"/>
      <c r="K111" s="81"/>
      <c r="L111" s="41"/>
      <c r="M111" s="299" t="s">
        <v>222</v>
      </c>
      <c r="N111" s="41"/>
      <c r="O111" s="724">
        <f>O106+O108+O109</f>
        <v>0</v>
      </c>
    </row>
    <row r="112" spans="1:15" ht="18.75" thickTop="1" x14ac:dyDescent="0.2">
      <c r="A112" s="315" t="s">
        <v>221</v>
      </c>
      <c r="B112" s="35"/>
      <c r="C112" s="35"/>
      <c r="D112" s="35"/>
      <c r="E112" s="35"/>
      <c r="F112" s="35"/>
      <c r="G112" s="35"/>
      <c r="H112" s="35"/>
      <c r="I112" s="35"/>
      <c r="J112" s="35"/>
      <c r="K112" s="35"/>
      <c r="L112" s="35"/>
      <c r="M112" s="82"/>
      <c r="N112" s="35"/>
      <c r="O112" s="721"/>
    </row>
    <row r="113" spans="1:15" ht="18" x14ac:dyDescent="0.2">
      <c r="A113" s="42"/>
      <c r="B113" s="35"/>
      <c r="C113" s="35"/>
      <c r="D113" s="35"/>
      <c r="E113" s="35"/>
      <c r="F113" s="35"/>
      <c r="G113" s="35"/>
      <c r="H113" s="35"/>
      <c r="I113" s="35"/>
      <c r="J113" s="35"/>
      <c r="K113" s="35"/>
      <c r="L113" s="35"/>
      <c r="M113" s="82"/>
      <c r="N113" s="35"/>
      <c r="O113" s="721"/>
    </row>
    <row r="114" spans="1:15" ht="15.75" thickBot="1" x14ac:dyDescent="0.25">
      <c r="A114" s="1768" t="s">
        <v>257</v>
      </c>
      <c r="B114" s="1769"/>
      <c r="C114" s="1769"/>
      <c r="D114" s="1769"/>
      <c r="E114" s="1769"/>
      <c r="F114" s="1769"/>
      <c r="G114" s="36"/>
      <c r="H114" s="36"/>
      <c r="I114" s="44">
        <f>IF('Input Data'!$F$32&lt;4,0,IF('Input Data'!$F$32=4,0.4,IF('Input Data'!$F$32=5,0.5)))</f>
        <v>0</v>
      </c>
      <c r="J114" s="65" t="s">
        <v>2</v>
      </c>
      <c r="K114" s="83">
        <f>IF('Input Data'!$E$10="E",IF('Input Data'!$F$32&gt;3,'Input Data'!$H$50,0),0)</f>
        <v>0</v>
      </c>
      <c r="L114" s="70" t="s">
        <v>24</v>
      </c>
      <c r="M114" s="68">
        <f>IF('Input Data'!$E$10="E",IF('Input Data'!$F$32&gt;3,IF('Input Data'!$H$50&gt;0,$O$24,0),0),0)</f>
        <v>0</v>
      </c>
      <c r="N114" s="263" t="s">
        <v>204</v>
      </c>
      <c r="O114" s="720">
        <f>IF('Input Data'!$E$10="E",IF('Input Data'!$F$32&gt;3,IF($M$114&gt;0,(I114*K114/K115*M114),0),0),0)</f>
        <v>0</v>
      </c>
    </row>
    <row r="115" spans="1:15" x14ac:dyDescent="0.2">
      <c r="A115" s="1770"/>
      <c r="B115" s="1769"/>
      <c r="C115" s="1769"/>
      <c r="D115" s="1769"/>
      <c r="E115" s="1769"/>
      <c r="F115" s="1769"/>
      <c r="G115" s="36"/>
      <c r="H115" s="36"/>
      <c r="I115" s="44"/>
      <c r="J115" s="47"/>
      <c r="K115" s="66">
        <f>IF('Input Data'!$F$32=4,'Input Data'!$H$46,IF('Input Data'!$F$32=5,'Input Data'!$H$52,0))</f>
        <v>0</v>
      </c>
      <c r="L115" s="70"/>
      <c r="M115" s="66"/>
      <c r="N115" s="66"/>
      <c r="O115" s="720"/>
    </row>
    <row r="116" spans="1:15" x14ac:dyDescent="0.2">
      <c r="A116" s="46"/>
      <c r="B116" s="36"/>
      <c r="C116" s="47"/>
      <c r="D116" s="45"/>
      <c r="E116" s="45"/>
      <c r="F116" s="45"/>
      <c r="G116" s="36"/>
      <c r="H116" s="36"/>
      <c r="I116" s="44"/>
      <c r="J116" s="47"/>
      <c r="K116" s="66"/>
      <c r="L116" s="70"/>
      <c r="M116" s="66"/>
      <c r="N116" s="66"/>
      <c r="O116" s="720"/>
    </row>
    <row r="117" spans="1:15" ht="15.75" thickBot="1" x14ac:dyDescent="0.25">
      <c r="A117" s="1771" t="s">
        <v>139</v>
      </c>
      <c r="B117" s="1769"/>
      <c r="C117" s="1769"/>
      <c r="D117" s="1769"/>
      <c r="E117" s="1769"/>
      <c r="F117" s="1769"/>
      <c r="G117" s="48">
        <f>IF('Input Data'!$H$51&gt;0,1.25,0)</f>
        <v>0</v>
      </c>
      <c r="H117" s="45" t="s">
        <v>24</v>
      </c>
      <c r="I117" s="44">
        <f>IF('Input Data'!$F$32&lt;4,0,IF('Input Data'!$F$32=4,0.4,IF('Input Data'!$F$32=5,0.5)))</f>
        <v>0</v>
      </c>
      <c r="J117" s="65" t="s">
        <v>2</v>
      </c>
      <c r="K117" s="83">
        <f>IF('Input Data'!$E$10="E",IF('Input Data'!$F$32&gt;3,'Input Data'!$H$51,0),0)</f>
        <v>0</v>
      </c>
      <c r="L117" s="70" t="s">
        <v>24</v>
      </c>
      <c r="M117" s="68">
        <f>IF('Input Data'!$E$10="E",IF('Input Data'!$F$32&gt;3,IF('Input Data'!$H$51&gt;0,$O$24,0),0),0)</f>
        <v>0</v>
      </c>
      <c r="N117" s="263" t="s">
        <v>204</v>
      </c>
      <c r="O117" s="720">
        <f>IF('Input Data'!$E$10="E",IF('Input Data'!$F$32&gt;3,IF($M$117&gt;0,(G117*I117*K117/K118*M117),0),0),0)</f>
        <v>0</v>
      </c>
    </row>
    <row r="118" spans="1:15" ht="15.75" thickBot="1" x14ac:dyDescent="0.25">
      <c r="A118" s="1770"/>
      <c r="B118" s="1769"/>
      <c r="C118" s="1769"/>
      <c r="D118" s="1769"/>
      <c r="E118" s="1769"/>
      <c r="F118" s="1769"/>
      <c r="G118" s="36"/>
      <c r="H118" s="45"/>
      <c r="I118" s="37"/>
      <c r="J118" s="35"/>
      <c r="K118" s="66">
        <f>IF('Input Data'!$F$32=4,'Input Data'!$H$46,IF('Input Data'!$F$32=5,'Input Data'!$H$52,0))</f>
        <v>0</v>
      </c>
      <c r="L118" s="76"/>
      <c r="M118" s="75"/>
      <c r="N118" s="75"/>
      <c r="O118" s="722"/>
    </row>
    <row r="119" spans="1:15" x14ac:dyDescent="0.2">
      <c r="A119" s="50"/>
      <c r="B119" s="51"/>
      <c r="C119" s="51"/>
      <c r="D119" s="51"/>
      <c r="E119" s="51"/>
      <c r="F119" s="51"/>
      <c r="G119" s="51"/>
      <c r="H119" s="1166"/>
      <c r="I119" s="52"/>
      <c r="J119" s="51"/>
      <c r="K119" s="84"/>
      <c r="L119" s="85"/>
      <c r="M119" s="84"/>
      <c r="N119" s="84"/>
      <c r="O119" s="723">
        <f>SUM(O114:O118)</f>
        <v>0</v>
      </c>
    </row>
    <row r="120" spans="1:15" x14ac:dyDescent="0.2">
      <c r="A120" s="34"/>
      <c r="B120" s="35"/>
      <c r="C120" s="36"/>
      <c r="D120" s="36"/>
      <c r="E120" s="36"/>
      <c r="F120" s="36"/>
      <c r="G120" s="36"/>
      <c r="H120" s="45"/>
      <c r="I120" s="53"/>
      <c r="J120" s="43"/>
      <c r="K120" s="53"/>
      <c r="L120" s="70"/>
      <c r="M120" s="66"/>
      <c r="N120" s="67"/>
      <c r="O120" s="721"/>
    </row>
    <row r="121" spans="1:15" x14ac:dyDescent="0.2">
      <c r="A121" s="57" t="s">
        <v>27</v>
      </c>
      <c r="B121" s="35"/>
      <c r="C121" s="36"/>
      <c r="D121" s="36"/>
      <c r="E121" s="36"/>
      <c r="F121" s="36"/>
      <c r="G121" s="53">
        <f>IF('Input Data'!F32&gt;3,'Input Data'!H53/'Input Data'!H48,0)</f>
        <v>0</v>
      </c>
      <c r="H121" s="1165" t="s">
        <v>24</v>
      </c>
      <c r="I121" s="37">
        <f>IF('Input Data'!$F$37="y",0.01,0)</f>
        <v>0</v>
      </c>
      <c r="J121" s="43" t="s">
        <v>1</v>
      </c>
      <c r="K121" s="44">
        <f>IF('Input Data'!$F$32&lt;4,0,IF('Input Data'!$F$32=4,0.4,IF('Input Data'!$F$32=5,0.5)))</f>
        <v>0</v>
      </c>
      <c r="L121" s="70" t="s">
        <v>24</v>
      </c>
      <c r="M121" s="75">
        <f>IF('Input Data'!$E$10="E",IF('Input Data'!$F$32&gt;3,IF('Input Data'!$F$37="y",$O$22,0),0),0)</f>
        <v>0</v>
      </c>
      <c r="N121" s="263" t="s">
        <v>204</v>
      </c>
      <c r="O121" s="721">
        <f>IF('Input Data'!$E$10="E",IF($M$121&gt;0,(G121*I121*K121*M121),0),0)</f>
        <v>0</v>
      </c>
    </row>
    <row r="122" spans="1:15" x14ac:dyDescent="0.2">
      <c r="A122" s="57" t="s">
        <v>218</v>
      </c>
      <c r="B122" s="35"/>
      <c r="C122" s="36"/>
      <c r="D122" s="36"/>
      <c r="E122" s="36"/>
      <c r="F122" s="36"/>
      <c r="G122" s="53">
        <f>IF('Input Data'!F32&gt;3,'Input Data'!H52/'Input Data'!H46,0)</f>
        <v>0</v>
      </c>
      <c r="H122" s="36"/>
      <c r="I122" s="37">
        <f>IF('Input Data'!$F$38="y",0.07,0)</f>
        <v>0</v>
      </c>
      <c r="J122" s="43" t="s">
        <v>24</v>
      </c>
      <c r="K122" s="44">
        <f>IF('Input Data'!$F$32&lt;4,0,IF('Input Data'!$F$32=4,0.4,IF('Input Data'!$F$32=5,0.5)))</f>
        <v>0</v>
      </c>
      <c r="L122" s="70"/>
      <c r="M122" s="75">
        <f>IF('Input Data'!$F$38="Y",IF('Input Data'!$E$10="E",IF('Input Data'!$F$32&gt;3,$O$24,0),0),0)</f>
        <v>0</v>
      </c>
      <c r="N122" s="263" t="s">
        <v>204</v>
      </c>
      <c r="O122" s="721">
        <f>IF('Input Data'!$E$10="E",IF($M$122&gt;0,(G121*I122*K122*M122),0),0)</f>
        <v>0</v>
      </c>
    </row>
    <row r="123" spans="1:15" ht="15.75" thickBot="1" x14ac:dyDescent="0.25">
      <c r="A123" s="318"/>
      <c r="B123" s="62"/>
      <c r="C123" s="62"/>
      <c r="D123" s="62"/>
      <c r="E123" s="62"/>
      <c r="F123" s="62"/>
      <c r="G123" s="62"/>
      <c r="H123" s="62"/>
      <c r="I123" s="62"/>
      <c r="J123" s="62"/>
      <c r="K123" s="62"/>
      <c r="L123" s="62"/>
      <c r="M123" s="62"/>
      <c r="N123" s="62"/>
      <c r="O123" s="725"/>
    </row>
    <row r="124" spans="1:15" ht="15.75" thickBot="1" x14ac:dyDescent="0.25">
      <c r="A124" s="86"/>
      <c r="B124" s="87"/>
      <c r="C124" s="87"/>
      <c r="D124" s="88"/>
      <c r="E124" s="88"/>
      <c r="F124" s="88"/>
      <c r="G124" s="89"/>
      <c r="H124" s="90"/>
      <c r="I124" s="91"/>
      <c r="J124" s="92"/>
      <c r="K124" s="93"/>
      <c r="L124" s="93"/>
      <c r="M124" s="295" t="s">
        <v>223</v>
      </c>
      <c r="N124" s="295"/>
      <c r="O124" s="726">
        <f>O119+O121+O122</f>
        <v>0</v>
      </c>
    </row>
    <row r="125" spans="1:15" ht="16.5" thickBot="1" x14ac:dyDescent="0.25">
      <c r="A125" s="343" t="s">
        <v>21</v>
      </c>
      <c r="B125" s="126"/>
      <c r="C125" s="126"/>
      <c r="D125" s="126"/>
      <c r="E125" s="126"/>
      <c r="F125" s="126"/>
      <c r="G125" s="126"/>
      <c r="H125" s="126"/>
      <c r="I125" s="126"/>
      <c r="J125" s="126"/>
      <c r="K125" s="126"/>
      <c r="L125" s="126"/>
      <c r="M125" s="449" t="s">
        <v>21</v>
      </c>
      <c r="N125" s="126"/>
      <c r="O125" s="727">
        <f>O111+O124</f>
        <v>0</v>
      </c>
    </row>
    <row r="126" spans="1:15" ht="15.75" thickTop="1" x14ac:dyDescent="0.2"/>
  </sheetData>
  <sheetProtection password="CD4C" sheet="1" objects="1" scenarios="1" formatCells="0" formatColumns="0" formatRows="0"/>
  <mergeCells count="71">
    <mergeCell ref="F5:G5"/>
    <mergeCell ref="J4:K4"/>
    <mergeCell ref="M5:O5"/>
    <mergeCell ref="D2:J2"/>
    <mergeCell ref="N4:O4"/>
    <mergeCell ref="J22:N22"/>
    <mergeCell ref="H17:I17"/>
    <mergeCell ref="J21:N21"/>
    <mergeCell ref="L19:N19"/>
    <mergeCell ref="L20:O20"/>
    <mergeCell ref="H19:I19"/>
    <mergeCell ref="E69:H69"/>
    <mergeCell ref="A22:B22"/>
    <mergeCell ref="A101:D102"/>
    <mergeCell ref="E90:G90"/>
    <mergeCell ref="A95:E96"/>
    <mergeCell ref="I87:J87"/>
    <mergeCell ref="C87:D87"/>
    <mergeCell ref="E87:G87"/>
    <mergeCell ref="E88:G88"/>
    <mergeCell ref="I88:J88"/>
    <mergeCell ref="A20:B20"/>
    <mergeCell ref="A114:F115"/>
    <mergeCell ref="A117:F118"/>
    <mergeCell ref="A104:D105"/>
    <mergeCell ref="E91:G91"/>
    <mergeCell ref="C90:D90"/>
    <mergeCell ref="C91:D91"/>
    <mergeCell ref="C89:D89"/>
    <mergeCell ref="E89:G89"/>
    <mergeCell ref="C21:I21"/>
    <mergeCell ref="H20:I20"/>
    <mergeCell ref="C20:E20"/>
    <mergeCell ref="C88:D88"/>
    <mergeCell ref="A98:D99"/>
    <mergeCell ref="I91:J91"/>
    <mergeCell ref="I90:J90"/>
    <mergeCell ref="N13:O13"/>
    <mergeCell ref="L18:N18"/>
    <mergeCell ref="H18:I18"/>
    <mergeCell ref="B13:L13"/>
    <mergeCell ref="L17:N17"/>
    <mergeCell ref="B14:M14"/>
    <mergeCell ref="B15:M15"/>
    <mergeCell ref="C17:F17"/>
    <mergeCell ref="A16:B16"/>
    <mergeCell ref="A17:B17"/>
    <mergeCell ref="L11:O11"/>
    <mergeCell ref="B6:N6"/>
    <mergeCell ref="I11:J11"/>
    <mergeCell ref="E11:G11"/>
    <mergeCell ref="E8:G8"/>
    <mergeCell ref="B11:C11"/>
    <mergeCell ref="B7:G7"/>
    <mergeCell ref="B8:D8"/>
    <mergeCell ref="L91:M91"/>
    <mergeCell ref="B83:O84"/>
    <mergeCell ref="I9:M9"/>
    <mergeCell ref="B10:C10"/>
    <mergeCell ref="B9:G9"/>
    <mergeCell ref="I10:K10"/>
    <mergeCell ref="A18:B18"/>
    <mergeCell ref="A19:B19"/>
    <mergeCell ref="C16:F16"/>
    <mergeCell ref="C19:G19"/>
    <mergeCell ref="C18:D18"/>
    <mergeCell ref="I89:J89"/>
    <mergeCell ref="L87:M87"/>
    <mergeCell ref="L88:M88"/>
    <mergeCell ref="L89:M89"/>
    <mergeCell ref="L90:M90"/>
  </mergeCells>
  <phoneticPr fontId="54" type="noConversion"/>
  <conditionalFormatting sqref="K91:L92 H91:I92 B91:C92 E91:E92 N92">
    <cfRule type="expression" dxfId="4" priority="1" stopIfTrue="1">
      <formula>B91&lt;B90</formula>
    </cfRule>
  </conditionalFormatting>
  <conditionalFormatting sqref="N91">
    <cfRule type="expression" dxfId="3" priority="3" stopIfTrue="1">
      <formula>N91&lt;O90</formula>
    </cfRule>
  </conditionalFormatting>
  <pageMargins left="0.71" right="0.61" top="0.67" bottom="0.69" header="0.5" footer="0.5"/>
  <pageSetup paperSize="9" scale="55" orientation="portrait" horizontalDpi="4294967294" r:id="rId1"/>
  <headerFooter alignWithMargins="0">
    <oddFooter>&amp;L&amp;"Arial,Regular"&amp;8&amp;F&amp;R&amp;"Arial,Regular"&amp;8&amp;D</oddFooter>
  </headerFooter>
  <rowBreaks count="1" manualBreakCount="1">
    <brk id="91" max="1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7"/>
  </sheetPr>
  <dimension ref="A1:P105"/>
  <sheetViews>
    <sheetView topLeftCell="A10" zoomScale="68" zoomScaleNormal="68" zoomScaleSheetLayoutView="70" workbookViewId="0">
      <selection activeCell="M47" sqref="M47"/>
    </sheetView>
  </sheetViews>
  <sheetFormatPr defaultRowHeight="15" x14ac:dyDescent="0.2"/>
  <cols>
    <col min="1" max="1" width="16.6640625" customWidth="1"/>
    <col min="2" max="2" width="13.77734375" customWidth="1"/>
    <col min="3" max="3" width="9.33203125" bestFit="1" customWidth="1"/>
    <col min="4" max="4" width="10.77734375" bestFit="1" customWidth="1"/>
    <col min="5" max="5" width="4.109375" customWidth="1"/>
    <col min="6" max="6" width="2.6640625" customWidth="1"/>
    <col min="7" max="7" width="8" customWidth="1"/>
    <col min="8" max="8" width="9.21875" customWidth="1"/>
    <col min="9" max="9" width="10.44140625" customWidth="1"/>
    <col min="10" max="10" width="3.109375" customWidth="1"/>
    <col min="11" max="11" width="15.5546875" customWidth="1"/>
    <col min="12" max="12" width="8.109375" customWidth="1"/>
    <col min="13" max="13" width="11.44140625" customWidth="1"/>
    <col min="14" max="14" width="6.5546875" customWidth="1"/>
    <col min="15" max="15" width="14.44140625" customWidth="1"/>
    <col min="16" max="16" width="15" bestFit="1" customWidth="1"/>
  </cols>
  <sheetData>
    <row r="1" spans="1:15" ht="37.5" customHeight="1" thickTop="1" x14ac:dyDescent="0.2">
      <c r="A1" s="408"/>
      <c r="B1" s="410"/>
      <c r="C1" s="410"/>
      <c r="D1" s="371"/>
      <c r="E1" s="371"/>
      <c r="F1" s="371"/>
      <c r="G1" s="131"/>
      <c r="H1" s="345" t="s">
        <v>101</v>
      </c>
      <c r="I1" s="321"/>
      <c r="J1" s="322"/>
      <c r="K1" s="371"/>
      <c r="L1" s="346"/>
      <c r="M1" s="346"/>
      <c r="N1" s="346"/>
      <c r="O1" s="347"/>
    </row>
    <row r="2" spans="1:15" ht="29.25" customHeight="1" x14ac:dyDescent="0.2">
      <c r="A2" s="503" t="s">
        <v>305</v>
      </c>
      <c r="B2" s="425"/>
      <c r="C2" s="425"/>
      <c r="D2" s="1865" t="s">
        <v>252</v>
      </c>
      <c r="E2" s="1866"/>
      <c r="F2" s="1866"/>
      <c r="G2" s="1866"/>
      <c r="H2" s="1866"/>
      <c r="I2" s="1866"/>
      <c r="J2" s="1866"/>
      <c r="K2" s="1815" t="str">
        <f>IF('Input Data'!$E$10="b",'Input Data'!E4,"USE OTHER INVOICE")</f>
        <v>MULTIDISCIPLINARY PROJECT: 2012 NDPW FEES</v>
      </c>
      <c r="L2" s="1816"/>
      <c r="M2" s="1816"/>
      <c r="N2" s="1817"/>
      <c r="O2" s="1818"/>
    </row>
    <row r="3" spans="1:15" ht="18.75" customHeight="1" x14ac:dyDescent="0.2">
      <c r="A3" s="158"/>
      <c r="B3" s="425"/>
      <c r="C3" s="425"/>
      <c r="D3" s="62"/>
      <c r="E3" s="62"/>
      <c r="F3" s="124"/>
      <c r="G3" s="124"/>
      <c r="H3" s="124"/>
      <c r="I3" s="62"/>
      <c r="J3" s="348"/>
      <c r="K3" s="348"/>
      <c r="L3" s="62"/>
      <c r="M3" s="62"/>
      <c r="N3" s="62"/>
      <c r="O3" s="502" t="str">
        <f>'Input Data'!H5</f>
        <v>Version: 1.1  2012-10</v>
      </c>
    </row>
    <row r="4" spans="1:15" ht="18" customHeight="1" x14ac:dyDescent="0.2">
      <c r="A4" s="318"/>
      <c r="B4" s="62"/>
      <c r="C4" s="62"/>
      <c r="D4" s="62"/>
      <c r="E4" s="62"/>
      <c r="F4" s="124"/>
      <c r="G4" s="124"/>
      <c r="H4" s="121" t="s">
        <v>612</v>
      </c>
      <c r="I4" s="488">
        <f>'Input Data'!D29</f>
        <v>0</v>
      </c>
      <c r="J4" s="62"/>
      <c r="K4" s="62"/>
      <c r="L4" s="62"/>
      <c r="M4" s="121" t="s">
        <v>107</v>
      </c>
      <c r="N4" s="1819">
        <f>'Input Data'!D28</f>
        <v>0</v>
      </c>
      <c r="O4" s="1820"/>
    </row>
    <row r="5" spans="1:15" ht="18" customHeight="1" thickBot="1" x14ac:dyDescent="0.25">
      <c r="A5" s="354" t="s">
        <v>213</v>
      </c>
      <c r="B5" s="357">
        <f>'Input Data'!D7</f>
        <v>0</v>
      </c>
      <c r="C5" s="62"/>
      <c r="D5" s="62"/>
      <c r="E5" s="270" t="s">
        <v>225</v>
      </c>
      <c r="F5" s="1826">
        <f>'Input Data'!D8</f>
        <v>0</v>
      </c>
      <c r="G5" s="1827"/>
      <c r="H5" s="81"/>
      <c r="I5" s="62"/>
      <c r="J5" s="62"/>
      <c r="K5" s="496"/>
      <c r="L5" s="121" t="s">
        <v>197</v>
      </c>
      <c r="M5" s="1824">
        <f>'Input Data'!D9</f>
        <v>0</v>
      </c>
      <c r="N5" s="1825"/>
      <c r="O5" s="1660"/>
    </row>
    <row r="6" spans="1:15" ht="21.75" customHeight="1" thickTop="1" thickBot="1" x14ac:dyDescent="0.25">
      <c r="A6" s="354" t="s">
        <v>19</v>
      </c>
      <c r="B6" s="1821">
        <f>'Input Data'!$D$12</f>
        <v>0</v>
      </c>
      <c r="C6" s="1822"/>
      <c r="D6" s="1822"/>
      <c r="E6" s="1801"/>
      <c r="F6" s="1801"/>
      <c r="G6" s="1822"/>
      <c r="H6" s="1822"/>
      <c r="I6" s="1822"/>
      <c r="J6" s="1822"/>
      <c r="K6" s="1822"/>
      <c r="L6" s="1823"/>
      <c r="M6" s="1823"/>
      <c r="N6" s="492"/>
      <c r="O6" s="360"/>
    </row>
    <row r="7" spans="1:15" ht="18" customHeight="1" thickTop="1" x14ac:dyDescent="0.2">
      <c r="A7" s="352" t="s">
        <v>178</v>
      </c>
      <c r="B7" s="1749" t="str">
        <f>'Input Data'!G18</f>
        <v>NATIONAL DEPARTMENT OF PUBLIC WORKS</v>
      </c>
      <c r="C7" s="1750"/>
      <c r="D7" s="1750"/>
      <c r="E7" s="1750"/>
      <c r="F7" s="1750"/>
      <c r="G7" s="1750"/>
      <c r="H7" s="62"/>
      <c r="I7" s="121" t="s">
        <v>185</v>
      </c>
      <c r="J7" s="466">
        <f>'Input Data'!D6</f>
        <v>0</v>
      </c>
      <c r="K7" s="462"/>
      <c r="L7" s="12"/>
      <c r="M7" s="274" t="s">
        <v>184</v>
      </c>
      <c r="N7" s="464" t="s">
        <v>295</v>
      </c>
      <c r="O7" s="491"/>
    </row>
    <row r="8" spans="1:15" ht="18" customHeight="1" x14ac:dyDescent="0.2">
      <c r="A8" s="352" t="s">
        <v>18</v>
      </c>
      <c r="B8" s="1870">
        <f>'Input Data'!G21</f>
        <v>0</v>
      </c>
      <c r="C8" s="1871"/>
      <c r="D8" s="1871"/>
      <c r="E8" s="1748" t="s">
        <v>175</v>
      </c>
      <c r="F8" s="1725"/>
      <c r="G8" s="1725"/>
      <c r="H8" s="1721">
        <f>'Input Data'!G22</f>
        <v>0</v>
      </c>
      <c r="I8" s="1721"/>
      <c r="J8" s="1698"/>
      <c r="K8" s="1698"/>
      <c r="L8" s="121" t="s">
        <v>194</v>
      </c>
      <c r="M8" s="461">
        <f>'Input Data'!G23</f>
        <v>0</v>
      </c>
      <c r="N8" s="62"/>
      <c r="O8" s="497"/>
    </row>
    <row r="9" spans="1:15" ht="18" customHeight="1" x14ac:dyDescent="0.2">
      <c r="A9" s="352" t="s">
        <v>260</v>
      </c>
      <c r="B9" s="1720">
        <f>'Input Data'!G26</f>
        <v>0</v>
      </c>
      <c r="C9" s="1721"/>
      <c r="D9" s="1721"/>
      <c r="E9" s="1721"/>
      <c r="F9" s="1721"/>
      <c r="G9" s="1721"/>
      <c r="H9" s="121" t="s">
        <v>196</v>
      </c>
      <c r="I9" s="1868" t="s">
        <v>353</v>
      </c>
      <c r="J9" s="1869"/>
      <c r="K9" s="1869"/>
      <c r="L9" s="1721"/>
      <c r="M9" s="1721"/>
      <c r="N9" s="121" t="s">
        <v>194</v>
      </c>
      <c r="O9" s="358">
        <f>'Input Data'!G28</f>
        <v>0</v>
      </c>
    </row>
    <row r="10" spans="1:15" ht="18" customHeight="1" x14ac:dyDescent="0.2">
      <c r="A10" s="352" t="s">
        <v>194</v>
      </c>
      <c r="B10" s="1873">
        <f>'Input Data'!G28</f>
        <v>0</v>
      </c>
      <c r="C10" s="1869"/>
      <c r="D10" s="450"/>
      <c r="E10" s="62"/>
      <c r="F10" s="62"/>
      <c r="G10" s="62"/>
      <c r="H10" s="121" t="s">
        <v>186</v>
      </c>
      <c r="I10" s="1720">
        <f>'Input Data'!G29</f>
        <v>0</v>
      </c>
      <c r="J10" s="1721"/>
      <c r="K10" s="1721"/>
      <c r="L10" s="14" t="s">
        <v>190</v>
      </c>
      <c r="M10" s="359">
        <f>'Input Data'!G30</f>
        <v>0</v>
      </c>
      <c r="N10" s="121" t="s">
        <v>301</v>
      </c>
      <c r="O10" s="365">
        <f>'Input Data'!G9</f>
        <v>0</v>
      </c>
    </row>
    <row r="11" spans="1:15" ht="18" customHeight="1" thickBot="1" x14ac:dyDescent="0.25">
      <c r="A11" s="354" t="s">
        <v>191</v>
      </c>
      <c r="B11" s="1746">
        <f>'Input Data'!G6</f>
        <v>0</v>
      </c>
      <c r="C11" s="1739"/>
      <c r="D11" s="270" t="s">
        <v>266</v>
      </c>
      <c r="E11" s="1746">
        <f>'Input Data'!G7</f>
        <v>0</v>
      </c>
      <c r="F11" s="1746"/>
      <c r="G11" s="1746"/>
      <c r="H11" s="270" t="s">
        <v>198</v>
      </c>
      <c r="I11" s="1828">
        <f>'Input Data'!G8</f>
        <v>0</v>
      </c>
      <c r="J11" s="1747"/>
      <c r="K11" s="270" t="s">
        <v>177</v>
      </c>
      <c r="L11" s="1738">
        <f>'Input Data'!G10</f>
        <v>0</v>
      </c>
      <c r="M11" s="1739"/>
      <c r="N11" s="1739"/>
      <c r="O11" s="1740"/>
    </row>
    <row r="12" spans="1:15" ht="18.75" thickTop="1" x14ac:dyDescent="0.2">
      <c r="A12" s="361" t="s">
        <v>253</v>
      </c>
      <c r="B12" s="350"/>
      <c r="C12" s="12"/>
      <c r="D12" s="121"/>
      <c r="E12" s="350"/>
      <c r="F12" s="350"/>
      <c r="G12" s="350"/>
      <c r="H12" s="14"/>
      <c r="I12" s="351"/>
      <c r="J12" s="62"/>
      <c r="K12" s="121"/>
      <c r="L12" s="355"/>
      <c r="M12" s="12"/>
      <c r="N12" s="12"/>
      <c r="O12" s="26"/>
    </row>
    <row r="13" spans="1:15" ht="18" customHeight="1" x14ac:dyDescent="0.2">
      <c r="A13" s="352" t="s">
        <v>303</v>
      </c>
      <c r="B13" s="1757">
        <f>'Input Data'!$D$13</f>
        <v>0</v>
      </c>
      <c r="C13" s="1829"/>
      <c r="D13" s="1829"/>
      <c r="E13" s="1829"/>
      <c r="F13" s="1829"/>
      <c r="G13" s="1829"/>
      <c r="H13" s="1829"/>
      <c r="I13" s="1829"/>
      <c r="J13" s="1829"/>
      <c r="K13" s="1829"/>
      <c r="L13" s="1829"/>
      <c r="M13" s="121" t="s">
        <v>200</v>
      </c>
      <c r="N13" s="1720">
        <f>'Input Data'!D31</f>
        <v>0</v>
      </c>
      <c r="O13" s="1705"/>
    </row>
    <row r="14" spans="1:15" ht="18" customHeight="1" x14ac:dyDescent="0.2">
      <c r="A14" s="352" t="s">
        <v>134</v>
      </c>
      <c r="B14" s="1759">
        <f>'Input Data'!$D$14</f>
        <v>0</v>
      </c>
      <c r="C14" s="1874"/>
      <c r="D14" s="1874"/>
      <c r="E14" s="1874"/>
      <c r="F14" s="1874"/>
      <c r="G14" s="1874"/>
      <c r="H14" s="1721"/>
      <c r="I14" s="1721"/>
      <c r="J14" s="1721"/>
      <c r="K14" s="1721"/>
      <c r="L14" s="1698"/>
      <c r="M14" s="1698"/>
      <c r="N14" s="121" t="s">
        <v>194</v>
      </c>
      <c r="O14" s="358">
        <f>'Input Data'!H14</f>
        <v>0</v>
      </c>
    </row>
    <row r="15" spans="1:15" ht="18" customHeight="1" x14ac:dyDescent="0.2">
      <c r="A15" s="353" t="s">
        <v>260</v>
      </c>
      <c r="B15" s="1722">
        <f>'Input Data'!D15</f>
        <v>0</v>
      </c>
      <c r="C15" s="1698"/>
      <c r="D15" s="1698"/>
      <c r="E15" s="1698"/>
      <c r="F15" s="1698"/>
      <c r="G15" s="1698"/>
      <c r="H15" s="1698"/>
      <c r="I15" s="1698"/>
      <c r="J15" s="1698"/>
      <c r="K15" s="1698"/>
      <c r="L15" s="1698"/>
      <c r="M15" s="1698"/>
      <c r="N15" s="121" t="s">
        <v>194</v>
      </c>
      <c r="O15" s="358">
        <f>'Input Data'!H15</f>
        <v>0</v>
      </c>
    </row>
    <row r="16" spans="1:15" ht="18" customHeight="1" x14ac:dyDescent="0.2">
      <c r="A16" s="318"/>
      <c r="B16" s="417"/>
      <c r="C16" s="352" t="s">
        <v>93</v>
      </c>
      <c r="D16" s="1726">
        <f>IF('Input Data'!E18="None","NOT REGISTERED FOR VAT",'Input Data'!D18)</f>
        <v>0</v>
      </c>
      <c r="E16" s="1730"/>
      <c r="F16" s="1730"/>
      <c r="G16" s="1696"/>
      <c r="H16" s="62"/>
      <c r="I16" s="62"/>
      <c r="J16" s="12"/>
      <c r="K16" s="62"/>
      <c r="L16" s="62"/>
      <c r="M16" s="62"/>
      <c r="N16" s="62"/>
      <c r="O16" s="419"/>
    </row>
    <row r="17" spans="1:15" ht="18" customHeight="1" x14ac:dyDescent="0.2">
      <c r="A17" s="318"/>
      <c r="B17" s="417"/>
      <c r="C17" s="353" t="s">
        <v>127</v>
      </c>
      <c r="D17" s="1762">
        <f>'Input Data'!D19</f>
        <v>0</v>
      </c>
      <c r="E17" s="1730"/>
      <c r="F17" s="1730"/>
      <c r="G17" s="1696"/>
      <c r="H17" s="1755"/>
      <c r="I17" s="1804"/>
      <c r="J17" s="12"/>
      <c r="K17" s="62"/>
      <c r="L17" s="62"/>
      <c r="M17" s="121" t="s">
        <v>186</v>
      </c>
      <c r="N17" s="1722">
        <f>'Input Data'!D16</f>
        <v>0</v>
      </c>
      <c r="O17" s="1872"/>
    </row>
    <row r="18" spans="1:15" ht="18" customHeight="1" x14ac:dyDescent="0.2">
      <c r="A18" s="318"/>
      <c r="B18" s="417"/>
      <c r="C18" s="352" t="s">
        <v>28</v>
      </c>
      <c r="D18" s="1867">
        <f>'Input Data'!$D$20</f>
        <v>0</v>
      </c>
      <c r="E18" s="1730"/>
      <c r="F18" s="1730"/>
      <c r="G18" s="1696"/>
      <c r="H18" s="1755"/>
      <c r="I18" s="1756"/>
      <c r="J18" s="12"/>
      <c r="K18" s="62"/>
      <c r="L18" s="62"/>
      <c r="M18" s="121" t="s">
        <v>199</v>
      </c>
      <c r="N18" s="1753">
        <f>'Input Data'!F16</f>
        <v>0</v>
      </c>
      <c r="O18" s="1872"/>
    </row>
    <row r="19" spans="1:15" ht="18" customHeight="1" x14ac:dyDescent="0.2">
      <c r="A19" s="318"/>
      <c r="B19" s="417"/>
      <c r="C19" s="352" t="s">
        <v>304</v>
      </c>
      <c r="D19" s="489">
        <f>'Input Data'!D30</f>
        <v>0</v>
      </c>
      <c r="E19" s="420"/>
      <c r="F19" s="420"/>
      <c r="G19" s="421"/>
      <c r="H19" s="1755"/>
      <c r="I19" s="1756"/>
      <c r="J19" s="12"/>
      <c r="K19" s="62"/>
      <c r="L19" s="62"/>
      <c r="M19" s="121" t="s">
        <v>190</v>
      </c>
      <c r="N19" s="1806">
        <f>'Input Data'!H16</f>
        <v>0</v>
      </c>
      <c r="O19" s="1830"/>
    </row>
    <row r="20" spans="1:15" ht="18" customHeight="1" thickBot="1" x14ac:dyDescent="0.25">
      <c r="A20" s="318"/>
      <c r="B20" s="413"/>
      <c r="C20" s="354" t="s">
        <v>29</v>
      </c>
      <c r="D20" s="1841" t="str">
        <f>'Input Data'!$D$26</f>
        <v>TIME BASED FEES</v>
      </c>
      <c r="E20" s="1825"/>
      <c r="F20" s="1825"/>
      <c r="G20" s="1842"/>
      <c r="H20" s="1786"/>
      <c r="I20" s="1787"/>
      <c r="J20" s="11"/>
      <c r="K20" s="270" t="s">
        <v>182</v>
      </c>
      <c r="L20" s="1835">
        <f>'Input Data'!D17</f>
        <v>0</v>
      </c>
      <c r="M20" s="1747"/>
      <c r="N20" s="1747"/>
      <c r="O20" s="1808"/>
    </row>
    <row r="21" spans="1:15" ht="15.75" thickTop="1" x14ac:dyDescent="0.2">
      <c r="A21" s="286" t="str">
        <f>IF('Input Data'!$F$32&gt;3,"STAGE:","STAGE COMPLETED:")</f>
        <v>STAGE COMPLETED:</v>
      </c>
      <c r="B21" s="1840" t="str">
        <f>'Input Data'!D32</f>
        <v>INCEPTION</v>
      </c>
      <c r="C21" s="1838"/>
      <c r="D21" s="1838"/>
      <c r="E21" s="1838"/>
      <c r="F21" s="1837"/>
      <c r="G21" s="1838"/>
      <c r="H21" s="1838"/>
      <c r="I21" s="36"/>
      <c r="J21" s="1836" t="str">
        <f>IF('Input Data'!$E$41=1,"ESTIMATED TOTAL VALUE OF ENGINEERING WORK","TOTAL VALUE OF ENGINEERING WORK")</f>
        <v>ESTIMATED TOTAL VALUE OF ENGINEERING WORK</v>
      </c>
      <c r="K21" s="1837"/>
      <c r="L21" s="1838"/>
      <c r="M21" s="1838"/>
      <c r="N21" s="1839"/>
      <c r="O21" s="752">
        <f>IF('Input Data'!E10="b",IF('Input Data'!$E$41=1,80%*'Input Data'!$H$46,'Input Data'!$H$46),0)</f>
        <v>0</v>
      </c>
    </row>
    <row r="22" spans="1:15" ht="15.75" thickBot="1" x14ac:dyDescent="0.25">
      <c r="A22" s="1843"/>
      <c r="B22" s="1844"/>
      <c r="C22" s="102"/>
      <c r="D22" s="102"/>
      <c r="E22" s="102"/>
      <c r="F22" s="102"/>
      <c r="G22" s="102"/>
      <c r="H22" s="102"/>
      <c r="I22" s="102"/>
      <c r="J22" s="1845" t="str">
        <f>IF('Input Data'!$E$41=1,"ESTIMATED TOTAL VALUE OF PROJECT","TOTAL VALUE OF PROJECT")</f>
        <v>ESTIMATED TOTAL VALUE OF PROJECT</v>
      </c>
      <c r="K22" s="1846"/>
      <c r="L22" s="1846"/>
      <c r="M22" s="1846"/>
      <c r="N22" s="1846"/>
      <c r="O22" s="753">
        <f>IF('Input Data'!E10="b",IF('Input Data'!$E$41=1,80%*'Input Data'!$H$48,'Input Data'!$H$48),0)</f>
        <v>0</v>
      </c>
    </row>
    <row r="23" spans="1:15" ht="15.75" thickTop="1" x14ac:dyDescent="0.2">
      <c r="A23" s="287" t="s">
        <v>26</v>
      </c>
      <c r="B23" s="36"/>
      <c r="C23" s="47"/>
      <c r="D23" s="43"/>
      <c r="E23" s="43"/>
      <c r="F23" s="43"/>
      <c r="G23" s="64"/>
      <c r="H23" s="65"/>
      <c r="I23" s="66">
        <f>IF('Input Data'!$E$10="B",(VLOOKUP($O$21,SCALE_2012EB,3)),0)</f>
        <v>0</v>
      </c>
      <c r="J23" s="288" t="s">
        <v>201</v>
      </c>
      <c r="K23" s="272">
        <f>IF('Input Data'!$E$10="B",VLOOKUP($O$21,SCALE_2012EB,4),0)</f>
        <v>0.15</v>
      </c>
      <c r="L23" s="70" t="s">
        <v>1</v>
      </c>
      <c r="M23" s="68">
        <f>IF('Input Data'!$E$10="B",$O$21-(VLOOKUP($O$21,SCALE_2012EB,1)),0)</f>
        <v>0</v>
      </c>
      <c r="N23" s="67" t="s">
        <v>202</v>
      </c>
      <c r="O23" s="720">
        <f>I23+K23*M23</f>
        <v>0</v>
      </c>
    </row>
    <row r="24" spans="1:15" ht="15.75" thickBot="1" x14ac:dyDescent="0.25">
      <c r="A24" s="289" t="str">
        <f>IF('Input Data'!F36="N","NO BILL OF QUANTITIES", "TOTAL BASIC FEE")</f>
        <v>NO BILL OF QUANTITIES</v>
      </c>
      <c r="B24" s="36"/>
      <c r="C24" s="36"/>
      <c r="D24" s="36"/>
      <c r="E24" s="36"/>
      <c r="F24" s="36"/>
      <c r="G24" s="47"/>
      <c r="H24" s="65"/>
      <c r="I24" s="66"/>
      <c r="J24" s="290" t="s">
        <v>203</v>
      </c>
      <c r="K24" s="272">
        <f>IF('Input Data'!$F$36="Y",1,0.75)</f>
        <v>0.75</v>
      </c>
      <c r="L24" s="70" t="s">
        <v>1</v>
      </c>
      <c r="M24" s="66">
        <f>$O$23</f>
        <v>0</v>
      </c>
      <c r="N24" s="67" t="s">
        <v>202</v>
      </c>
      <c r="O24" s="754">
        <f>K24*M24</f>
        <v>0</v>
      </c>
    </row>
    <row r="25" spans="1:15" ht="18.75" thickTop="1" x14ac:dyDescent="0.2">
      <c r="A25" s="314" t="s">
        <v>220</v>
      </c>
      <c r="B25" s="71"/>
      <c r="C25" s="71"/>
      <c r="D25" s="71"/>
      <c r="E25" s="71"/>
      <c r="F25" s="71"/>
      <c r="G25" s="71"/>
      <c r="H25" s="71"/>
      <c r="I25" s="71"/>
      <c r="J25" s="71"/>
      <c r="K25" s="71"/>
      <c r="L25" s="71"/>
      <c r="M25" s="71"/>
      <c r="N25" s="71"/>
      <c r="O25" s="720"/>
    </row>
    <row r="26" spans="1:15" x14ac:dyDescent="0.2">
      <c r="A26" s="46" t="s">
        <v>258</v>
      </c>
      <c r="B26" s="36"/>
      <c r="C26" s="36"/>
      <c r="D26" s="36"/>
      <c r="E26" s="36"/>
      <c r="F26" s="36"/>
      <c r="G26" s="36"/>
      <c r="H26" s="43"/>
      <c r="I26" s="44"/>
      <c r="J26" s="67"/>
      <c r="K26" s="66"/>
      <c r="L26" s="70"/>
      <c r="M26" s="66"/>
      <c r="N26" s="67"/>
      <c r="O26" s="720">
        <f>O83</f>
        <v>0</v>
      </c>
    </row>
    <row r="27" spans="1:15" x14ac:dyDescent="0.2">
      <c r="A27" s="55"/>
      <c r="B27" s="35"/>
      <c r="C27" s="36"/>
      <c r="D27" s="36"/>
      <c r="E27" s="36"/>
      <c r="F27" s="36"/>
      <c r="G27" s="48"/>
      <c r="H27" s="49"/>
      <c r="I27" s="37"/>
      <c r="J27" s="75"/>
      <c r="K27" s="75"/>
      <c r="L27" s="76"/>
      <c r="M27" s="75"/>
      <c r="N27" s="75"/>
      <c r="O27" s="721"/>
    </row>
    <row r="28" spans="1:15" x14ac:dyDescent="0.2">
      <c r="A28" s="331" t="s">
        <v>139</v>
      </c>
      <c r="B28" s="33"/>
      <c r="C28" s="36"/>
      <c r="D28" s="36"/>
      <c r="E28" s="44"/>
      <c r="F28" s="290"/>
      <c r="G28" s="48"/>
      <c r="H28" s="43"/>
      <c r="I28" s="44"/>
      <c r="J28" s="67"/>
      <c r="K28" s="66"/>
      <c r="L28" s="70"/>
      <c r="M28" s="66"/>
      <c r="N28" s="67"/>
      <c r="O28" s="720">
        <f>O86</f>
        <v>0</v>
      </c>
    </row>
    <row r="29" spans="1:15" x14ac:dyDescent="0.2">
      <c r="A29" s="273"/>
      <c r="B29" s="36"/>
      <c r="C29" s="36"/>
      <c r="D29" s="36"/>
      <c r="E29" s="36"/>
      <c r="F29" s="36"/>
      <c r="G29" s="48"/>
      <c r="H29" s="49"/>
      <c r="I29" s="37"/>
      <c r="J29" s="75"/>
      <c r="K29" s="66"/>
      <c r="L29" s="76"/>
      <c r="M29" s="75"/>
      <c r="N29" s="75"/>
      <c r="O29" s="721"/>
    </row>
    <row r="30" spans="1:15" x14ac:dyDescent="0.2">
      <c r="A30" s="332" t="s">
        <v>105</v>
      </c>
      <c r="B30" s="33"/>
      <c r="C30" s="33"/>
      <c r="D30" s="33"/>
      <c r="E30" s="36"/>
      <c r="F30" s="290"/>
      <c r="G30" s="48"/>
      <c r="H30" s="49"/>
      <c r="I30" s="44"/>
      <c r="J30" s="67"/>
      <c r="K30" s="66"/>
      <c r="L30" s="76"/>
      <c r="M30" s="66"/>
      <c r="N30" s="67"/>
      <c r="O30" s="720">
        <f>O89</f>
        <v>0</v>
      </c>
    </row>
    <row r="31" spans="1:15" x14ac:dyDescent="0.2">
      <c r="A31" s="34"/>
      <c r="B31" s="35"/>
      <c r="C31" s="36"/>
      <c r="D31" s="36"/>
      <c r="E31" s="36"/>
      <c r="F31" s="36"/>
      <c r="G31" s="48"/>
      <c r="H31" s="49"/>
      <c r="I31" s="44"/>
      <c r="J31" s="67"/>
      <c r="K31" s="77"/>
      <c r="L31" s="76"/>
      <c r="M31" s="77"/>
      <c r="N31" s="75"/>
      <c r="O31" s="721"/>
    </row>
    <row r="32" spans="1:15" x14ac:dyDescent="0.2">
      <c r="A32" s="332" t="s">
        <v>144</v>
      </c>
      <c r="B32" s="33"/>
      <c r="C32" s="33"/>
      <c r="D32" s="33"/>
      <c r="E32" s="48"/>
      <c r="F32" s="43"/>
      <c r="G32" s="48"/>
      <c r="H32" s="43"/>
      <c r="I32" s="44"/>
      <c r="J32" s="67"/>
      <c r="K32" s="66"/>
      <c r="L32" s="43"/>
      <c r="M32" s="66"/>
      <c r="N32" s="263"/>
      <c r="O32" s="720">
        <f>O92</f>
        <v>0</v>
      </c>
    </row>
    <row r="33" spans="1:16" ht="9.75" customHeight="1" x14ac:dyDescent="0.2">
      <c r="A33" s="50"/>
      <c r="B33" s="56"/>
      <c r="C33" s="56"/>
      <c r="D33" s="56"/>
      <c r="E33" s="56"/>
      <c r="F33" s="56"/>
      <c r="G33" s="56"/>
      <c r="H33" s="56"/>
      <c r="I33" s="78"/>
      <c r="J33" s="78"/>
      <c r="K33" s="79"/>
      <c r="L33" s="79"/>
      <c r="M33" s="79"/>
      <c r="N33" s="79"/>
      <c r="O33" s="723"/>
    </row>
    <row r="34" spans="1:16" ht="15.75" thickBot="1" x14ac:dyDescent="0.25">
      <c r="A34" s="38"/>
      <c r="B34" s="39"/>
      <c r="C34" s="39"/>
      <c r="D34" s="39"/>
      <c r="E34" s="39"/>
      <c r="F34" s="39"/>
      <c r="G34" s="40"/>
      <c r="H34" s="40"/>
      <c r="I34" s="41"/>
      <c r="J34" s="80"/>
      <c r="K34" s="81"/>
      <c r="L34" s="41"/>
      <c r="M34" s="299" t="s">
        <v>222</v>
      </c>
      <c r="N34" s="41"/>
      <c r="O34" s="755">
        <f>O95</f>
        <v>0</v>
      </c>
    </row>
    <row r="35" spans="1:16" ht="18.75" thickTop="1" x14ac:dyDescent="0.2">
      <c r="A35" s="315" t="s">
        <v>221</v>
      </c>
      <c r="B35" s="35"/>
      <c r="C35" s="35"/>
      <c r="D35" s="35"/>
      <c r="E35" s="35"/>
      <c r="F35" s="35"/>
      <c r="G35" s="35"/>
      <c r="H35" s="35"/>
      <c r="I35" s="35"/>
      <c r="J35" s="35"/>
      <c r="K35" s="35"/>
      <c r="L35" s="35"/>
      <c r="M35" s="82"/>
      <c r="N35" s="35"/>
      <c r="O35" s="721"/>
    </row>
    <row r="36" spans="1:16" x14ac:dyDescent="0.2">
      <c r="A36" s="46" t="s">
        <v>259</v>
      </c>
      <c r="B36" s="62"/>
      <c r="C36" s="62"/>
      <c r="D36" s="62"/>
      <c r="E36" s="43"/>
      <c r="F36" s="43"/>
      <c r="G36" s="36"/>
      <c r="H36" s="276"/>
      <c r="I36" s="44"/>
      <c r="J36" s="65"/>
      <c r="K36" s="68"/>
      <c r="L36" s="70"/>
      <c r="M36" s="68"/>
      <c r="N36" s="263"/>
      <c r="O36" s="720">
        <f>O97</f>
        <v>0</v>
      </c>
    </row>
    <row r="37" spans="1:16" ht="8.25" customHeight="1" x14ac:dyDescent="0.2">
      <c r="A37" s="318"/>
      <c r="B37" s="62"/>
      <c r="C37" s="62"/>
      <c r="D37" s="62"/>
      <c r="E37" s="45"/>
      <c r="F37" s="45"/>
      <c r="G37" s="36"/>
      <c r="H37" s="36"/>
      <c r="I37" s="44"/>
      <c r="J37" s="47"/>
      <c r="K37" s="66"/>
      <c r="L37" s="70"/>
      <c r="M37" s="66"/>
      <c r="N37" s="66"/>
      <c r="O37" s="720"/>
    </row>
    <row r="38" spans="1:16" x14ac:dyDescent="0.2">
      <c r="A38" s="331" t="s">
        <v>139</v>
      </c>
      <c r="B38" s="33"/>
      <c r="C38" s="62"/>
      <c r="D38" s="62"/>
      <c r="E38" s="43"/>
      <c r="F38" s="275"/>
      <c r="G38" s="48"/>
      <c r="H38" s="36"/>
      <c r="I38" s="44"/>
      <c r="J38" s="65"/>
      <c r="K38" s="68"/>
      <c r="L38" s="70"/>
      <c r="M38" s="68"/>
      <c r="N38" s="263"/>
      <c r="O38" s="720">
        <f>O100</f>
        <v>0</v>
      </c>
      <c r="P38" s="867"/>
    </row>
    <row r="39" spans="1:16" ht="9" customHeight="1" x14ac:dyDescent="0.2">
      <c r="A39" s="304"/>
      <c r="B39" s="56"/>
      <c r="C39" s="51"/>
      <c r="D39" s="51"/>
      <c r="E39" s="51"/>
      <c r="F39" s="51"/>
      <c r="G39" s="51"/>
      <c r="H39" s="51"/>
      <c r="I39" s="52"/>
      <c r="J39" s="305"/>
      <c r="K39" s="52"/>
      <c r="L39" s="306"/>
      <c r="M39" s="269"/>
      <c r="N39" s="307"/>
      <c r="O39" s="756"/>
      <c r="P39" s="867"/>
    </row>
    <row r="40" spans="1:16" ht="15.75" thickBot="1" x14ac:dyDescent="0.25">
      <c r="A40" s="255"/>
      <c r="B40" s="256"/>
      <c r="C40" s="256"/>
      <c r="D40" s="308"/>
      <c r="E40" s="308"/>
      <c r="F40" s="308"/>
      <c r="G40" s="309"/>
      <c r="H40" s="310"/>
      <c r="I40" s="336"/>
      <c r="J40" s="311"/>
      <c r="K40" s="312"/>
      <c r="L40" s="312"/>
      <c r="M40" s="349" t="s">
        <v>223</v>
      </c>
      <c r="N40" s="312"/>
      <c r="O40" s="755">
        <f>O103</f>
        <v>0</v>
      </c>
      <c r="P40" s="867"/>
    </row>
    <row r="41" spans="1:16" ht="21" customHeight="1" thickTop="1" thickBot="1" x14ac:dyDescent="0.25">
      <c r="A41" s="452"/>
      <c r="B41" s="39"/>
      <c r="C41" s="39"/>
      <c r="D41" s="39"/>
      <c r="E41" s="39"/>
      <c r="F41" s="39"/>
      <c r="G41" s="39"/>
      <c r="H41" s="39"/>
      <c r="I41" s="363"/>
      <c r="J41" s="39"/>
      <c r="K41" s="39"/>
      <c r="L41" s="39"/>
      <c r="M41" s="642" t="s">
        <v>21</v>
      </c>
      <c r="N41" s="39"/>
      <c r="O41" s="732">
        <f>O104</f>
        <v>0</v>
      </c>
      <c r="P41" s="867"/>
    </row>
    <row r="42" spans="1:16" ht="24" customHeight="1" thickTop="1" thickBot="1" x14ac:dyDescent="0.25">
      <c r="A42" s="377"/>
      <c r="B42" s="242"/>
      <c r="C42" s="242"/>
      <c r="D42" s="242"/>
      <c r="E42" s="242"/>
      <c r="F42" s="242"/>
      <c r="G42" s="242"/>
      <c r="H42" s="242"/>
      <c r="I42" s="363"/>
      <c r="J42" s="242"/>
      <c r="K42" s="242"/>
      <c r="L42" s="313" t="s">
        <v>165</v>
      </c>
      <c r="M42" s="546">
        <f>ROUND('Input Data'!$D$27/100,2)</f>
        <v>1</v>
      </c>
      <c r="N42" s="501" t="s">
        <v>166</v>
      </c>
      <c r="O42" s="742">
        <f>M42*O104</f>
        <v>0</v>
      </c>
      <c r="P42" s="1508"/>
    </row>
    <row r="43" spans="1:16" ht="18.75" thickTop="1" x14ac:dyDescent="0.2">
      <c r="A43" s="42" t="s">
        <v>137</v>
      </c>
      <c r="B43" s="35"/>
      <c r="C43" s="35"/>
      <c r="D43" s="35"/>
      <c r="E43" s="35"/>
      <c r="F43" s="35"/>
      <c r="G43" s="35"/>
      <c r="H43" s="252"/>
      <c r="I43" s="125"/>
      <c r="J43" s="97"/>
      <c r="K43" s="35"/>
      <c r="L43" s="99"/>
      <c r="M43" s="35"/>
      <c r="N43" s="99"/>
      <c r="O43" s="721"/>
      <c r="P43" s="867"/>
    </row>
    <row r="44" spans="1:16" x14ac:dyDescent="0.2">
      <c r="A44" s="58" t="s">
        <v>150</v>
      </c>
      <c r="B44" s="94"/>
      <c r="C44" s="94"/>
      <c r="D44" s="94"/>
      <c r="E44" s="94"/>
      <c r="F44" s="94"/>
      <c r="G44" s="94"/>
      <c r="H44" s="96" t="s">
        <v>187</v>
      </c>
      <c r="I44" s="62"/>
      <c r="J44" s="97"/>
      <c r="K44" s="98"/>
      <c r="L44" s="35"/>
      <c r="M44" s="98" t="s">
        <v>219</v>
      </c>
      <c r="N44" s="263" t="s">
        <v>204</v>
      </c>
      <c r="O44" s="721">
        <f>IF('Input Data'!E10="B",IF($O$24&gt;0,0,'Time Based'!I22),0)</f>
        <v>0</v>
      </c>
      <c r="P44" s="867"/>
    </row>
    <row r="45" spans="1:16" ht="15.75" thickBot="1" x14ac:dyDescent="0.25">
      <c r="A45" s="34" t="s">
        <v>159</v>
      </c>
      <c r="B45" s="35"/>
      <c r="C45" s="35"/>
      <c r="D45" s="35"/>
      <c r="E45" s="35"/>
      <c r="F45" s="35"/>
      <c r="G45" s="35"/>
      <c r="H45" s="99" t="s">
        <v>188</v>
      </c>
      <c r="I45" s="62"/>
      <c r="J45" s="97"/>
      <c r="K45" s="100"/>
      <c r="L45" s="87"/>
      <c r="M45" s="100" t="s">
        <v>219</v>
      </c>
      <c r="N45" s="302" t="s">
        <v>204</v>
      </c>
      <c r="O45" s="722">
        <f>IF('Input Data'!E10="B",'Time Based'!I70,0)</f>
        <v>0</v>
      </c>
      <c r="P45" s="867"/>
    </row>
    <row r="46" spans="1:16" ht="15.75" thickBot="1" x14ac:dyDescent="0.25">
      <c r="A46" s="101"/>
      <c r="B46" s="102"/>
      <c r="C46" s="102"/>
      <c r="D46" s="39"/>
      <c r="E46" s="39"/>
      <c r="F46" s="39"/>
      <c r="G46" s="39"/>
      <c r="H46" s="103"/>
      <c r="I46" s="104"/>
      <c r="J46" s="105"/>
      <c r="K46" s="253"/>
      <c r="L46" s="39"/>
      <c r="M46" s="610" t="s">
        <v>323</v>
      </c>
      <c r="N46" s="106"/>
      <c r="O46" s="738">
        <f>SUM(O44:O45)</f>
        <v>0</v>
      </c>
      <c r="P46" s="1508"/>
    </row>
    <row r="47" spans="1:16" ht="19.5" thickTop="1" thickBot="1" x14ac:dyDescent="0.25">
      <c r="A47" s="1158"/>
      <c r="B47" s="1159"/>
      <c r="C47" s="1159"/>
      <c r="D47" s="242"/>
      <c r="E47" s="242"/>
      <c r="F47" s="242"/>
      <c r="G47" s="242"/>
      <c r="H47" s="1160"/>
      <c r="I47" s="1161"/>
      <c r="J47" s="1162"/>
      <c r="K47" s="1465"/>
      <c r="L47" s="242"/>
      <c r="M47" s="760" t="s">
        <v>344</v>
      </c>
      <c r="N47" s="501"/>
      <c r="O47" s="761">
        <f>IF('Input Data'!E10="B",'Input Data'!F11*'Input Data'!H11,0)</f>
        <v>0</v>
      </c>
      <c r="P47" s="867"/>
    </row>
    <row r="48" spans="1:16" ht="18.75" thickTop="1" x14ac:dyDescent="0.2">
      <c r="A48" s="42" t="s">
        <v>136</v>
      </c>
      <c r="B48" s="35"/>
      <c r="C48" s="35"/>
      <c r="D48" s="35"/>
      <c r="E48" s="35"/>
      <c r="F48" s="35"/>
      <c r="G48" s="35"/>
      <c r="H48" s="35"/>
      <c r="I48" s="35"/>
      <c r="J48" s="35"/>
      <c r="K48" s="35"/>
      <c r="L48" s="35"/>
      <c r="M48" s="107"/>
      <c r="N48" s="108"/>
      <c r="O48" s="721"/>
      <c r="P48" s="867"/>
    </row>
    <row r="49" spans="1:16" x14ac:dyDescent="0.2">
      <c r="A49" s="34" t="s">
        <v>616</v>
      </c>
      <c r="B49" s="35"/>
      <c r="C49" s="244" t="s">
        <v>167</v>
      </c>
      <c r="D49" s="35"/>
      <c r="E49" s="35"/>
      <c r="F49" s="35"/>
      <c r="G49" s="35"/>
      <c r="H49" s="35"/>
      <c r="I49" s="35"/>
      <c r="J49" s="35"/>
      <c r="K49" s="99"/>
      <c r="L49" s="35"/>
      <c r="M49" s="98" t="s">
        <v>219</v>
      </c>
      <c r="N49" s="263" t="s">
        <v>204</v>
      </c>
      <c r="O49" s="744">
        <f>IF('Input Data'!E10="B",'Subsistance &amp; Travelling'!O86,0)</f>
        <v>0</v>
      </c>
      <c r="P49" s="867"/>
    </row>
    <row r="50" spans="1:16" x14ac:dyDescent="0.2">
      <c r="A50" s="34" t="s">
        <v>78</v>
      </c>
      <c r="B50" s="35"/>
      <c r="C50" s="35"/>
      <c r="D50" s="35"/>
      <c r="E50" s="35"/>
      <c r="F50" s="35"/>
      <c r="G50" s="35"/>
      <c r="H50" s="35"/>
      <c r="I50" s="35"/>
      <c r="J50" s="35"/>
      <c r="K50" s="99"/>
      <c r="L50" s="303"/>
      <c r="M50" s="98" t="s">
        <v>219</v>
      </c>
      <c r="N50" s="263" t="s">
        <v>204</v>
      </c>
      <c r="O50" s="744">
        <f>IF('Input Data'!$E$10="B",'Typing, Duplicating, &amp; Printing'!J63,0)</f>
        <v>0</v>
      </c>
      <c r="P50" s="867"/>
    </row>
    <row r="51" spans="1:16" x14ac:dyDescent="0.2">
      <c r="A51" s="34" t="s">
        <v>608</v>
      </c>
      <c r="B51" s="35"/>
      <c r="C51" s="35"/>
      <c r="D51" s="35"/>
      <c r="E51" s="35"/>
      <c r="F51" s="35"/>
      <c r="G51" s="35"/>
      <c r="H51" s="35"/>
      <c r="I51" s="35"/>
      <c r="J51" s="35"/>
      <c r="K51" s="99"/>
      <c r="L51" s="35"/>
      <c r="M51" s="98" t="s">
        <v>219</v>
      </c>
      <c r="N51" s="263" t="s">
        <v>204</v>
      </c>
      <c r="O51" s="744">
        <f>IF('Input Data'!$E$10="B",'Site staff &amp; Other'!I49,0)</f>
        <v>0</v>
      </c>
      <c r="P51" s="867"/>
    </row>
    <row r="52" spans="1:16" ht="15.75" thickBot="1" x14ac:dyDescent="0.25">
      <c r="A52" s="1439" t="s">
        <v>609</v>
      </c>
      <c r="B52" s="35"/>
      <c r="C52" s="35"/>
      <c r="D52" s="35"/>
      <c r="E52" s="35"/>
      <c r="F52" s="35"/>
      <c r="G52" s="35"/>
      <c r="H52" s="35"/>
      <c r="I52" s="35"/>
      <c r="J52" s="35"/>
      <c r="K52" s="99"/>
      <c r="L52" s="35"/>
      <c r="M52" s="100" t="s">
        <v>219</v>
      </c>
      <c r="N52" s="302" t="s">
        <v>204</v>
      </c>
      <c r="O52" s="745">
        <f>IF('Input Data'!$E$10="B",'Site staff &amp; Other'!I64,0)</f>
        <v>0</v>
      </c>
      <c r="P52" s="867"/>
    </row>
    <row r="53" spans="1:16" ht="15.75" thickBot="1" x14ac:dyDescent="0.25">
      <c r="A53" s="101"/>
      <c r="B53" s="39"/>
      <c r="C53" s="39"/>
      <c r="D53" s="39"/>
      <c r="E53" s="39"/>
      <c r="F53" s="39"/>
      <c r="G53" s="39"/>
      <c r="H53" s="110"/>
      <c r="I53" s="102"/>
      <c r="J53" s="39"/>
      <c r="K53" s="1831" t="s">
        <v>248</v>
      </c>
      <c r="L53" s="1832"/>
      <c r="M53" s="1832"/>
      <c r="N53" s="11"/>
      <c r="O53" s="746">
        <f>SUM(O49:O52)</f>
        <v>0</v>
      </c>
      <c r="P53" s="1508"/>
    </row>
    <row r="54" spans="1:16" ht="15.75" thickTop="1" x14ac:dyDescent="0.2">
      <c r="A54" s="111"/>
      <c r="B54" s="297" t="s">
        <v>224</v>
      </c>
      <c r="C54" s="112"/>
      <c r="D54" s="35"/>
      <c r="E54" s="35"/>
      <c r="F54" s="35"/>
      <c r="G54" s="35"/>
      <c r="H54" s="35"/>
      <c r="I54" s="113"/>
      <c r="J54" s="35"/>
      <c r="K54" s="35"/>
      <c r="L54" s="35"/>
      <c r="M54" s="297" t="s">
        <v>224</v>
      </c>
      <c r="N54" s="35"/>
      <c r="O54" s="748">
        <f>O42-O47+O46+O53</f>
        <v>0</v>
      </c>
      <c r="P54" s="1508"/>
    </row>
    <row r="55" spans="1:16" ht="15.75" thickBot="1" x14ac:dyDescent="0.25">
      <c r="A55" s="34"/>
      <c r="B55" s="35"/>
      <c r="C55" s="35"/>
      <c r="D55" s="35"/>
      <c r="E55" s="35"/>
      <c r="F55" s="35"/>
      <c r="G55" s="36"/>
      <c r="H55" s="36"/>
      <c r="I55" s="90"/>
      <c r="J55" s="109"/>
      <c r="K55" s="109"/>
      <c r="L55" s="87"/>
      <c r="M55" s="100" t="s">
        <v>95</v>
      </c>
      <c r="N55" s="87"/>
      <c r="O55" s="757">
        <f>IF('Input Data'!E10="B",ROUND('Previous Claims'!K42,2),0)</f>
        <v>0</v>
      </c>
      <c r="P55" s="1508"/>
    </row>
    <row r="56" spans="1:16" ht="22.5" customHeight="1" thickBot="1" x14ac:dyDescent="0.25">
      <c r="A56" s="34"/>
      <c r="B56" s="316"/>
      <c r="C56" s="39"/>
      <c r="D56" s="35"/>
      <c r="E56" s="35"/>
      <c r="F56" s="35"/>
      <c r="G56" s="114"/>
      <c r="H56" s="49"/>
      <c r="I56" s="1833" t="str">
        <f>IF($O$54&lt;$O$55,"OVERPAID BY (Ecl Tax)",IF($O$54&gt;$O$55,"FEES NOW DUE EXCLUDING VAT &amp; NON TAXABLE AMOUNT",""))</f>
        <v/>
      </c>
      <c r="J56" s="1833"/>
      <c r="K56" s="1833"/>
      <c r="L56" s="1833"/>
      <c r="M56" s="1833"/>
      <c r="N56" s="1833"/>
      <c r="O56" s="748">
        <f>O54-O55</f>
        <v>0</v>
      </c>
      <c r="P56" s="867"/>
    </row>
    <row r="57" spans="1:16" ht="15.75" thickTop="1" x14ac:dyDescent="0.2">
      <c r="A57" s="111"/>
      <c r="B57" s="112"/>
      <c r="C57" s="35"/>
      <c r="D57" s="112" t="s">
        <v>0</v>
      </c>
      <c r="E57" s="112"/>
      <c r="F57" s="112"/>
      <c r="G57" s="254"/>
      <c r="H57" s="115">
        <v>0.14000000000000001</v>
      </c>
      <c r="I57" s="112" t="s">
        <v>22</v>
      </c>
      <c r="J57" s="36"/>
      <c r="K57" s="116">
        <f>IF('Input Data'!D18="None",0,O56)</f>
        <v>0</v>
      </c>
      <c r="L57" s="112"/>
      <c r="M57" s="112"/>
      <c r="N57" s="112"/>
      <c r="O57" s="749">
        <f>IF('Input Data'!E18="none",0,H57*K57)</f>
        <v>0</v>
      </c>
      <c r="P57" s="867"/>
    </row>
    <row r="58" spans="1:16" x14ac:dyDescent="0.2">
      <c r="A58" s="34"/>
      <c r="B58" s="35"/>
      <c r="C58" s="35"/>
      <c r="D58" s="114"/>
      <c r="E58" s="114"/>
      <c r="F58" s="114"/>
      <c r="G58" s="99"/>
      <c r="H58" s="117"/>
      <c r="I58" s="56"/>
      <c r="J58" s="118"/>
      <c r="K58" s="51"/>
      <c r="L58" s="119"/>
      <c r="M58" s="298" t="s">
        <v>106</v>
      </c>
      <c r="N58" s="120"/>
      <c r="O58" s="750">
        <f>'Non Taxable'!J21</f>
        <v>0</v>
      </c>
    </row>
    <row r="59" spans="1:16" ht="24" customHeight="1" thickBot="1" x14ac:dyDescent="0.25">
      <c r="A59" s="255"/>
      <c r="B59" s="256"/>
      <c r="C59" s="256"/>
      <c r="D59" s="256"/>
      <c r="E59" s="256"/>
      <c r="F59" s="256"/>
      <c r="G59" s="256"/>
      <c r="H59" s="257"/>
      <c r="I59" s="1833" t="str">
        <f>IF($O$54&lt;$O$55,"AMOUNT TO BE RECOVERED (Incl VAT)",IF($O$54&gt;$O$55,"FEES NOW DUE INCLUDING VAT &amp; NON TAXABLE AMOUNT",""))</f>
        <v/>
      </c>
      <c r="J59" s="1834"/>
      <c r="K59" s="1834"/>
      <c r="L59" s="1834"/>
      <c r="M59" s="1834"/>
      <c r="N59" s="1834"/>
      <c r="O59" s="758">
        <f>O56+O57+O58</f>
        <v>0</v>
      </c>
    </row>
    <row r="60" spans="1:16" ht="9" customHeight="1" thickTop="1" x14ac:dyDescent="0.2">
      <c r="A60" s="565"/>
      <c r="B60" s="625"/>
      <c r="C60" s="626"/>
      <c r="D60" s="626"/>
      <c r="E60" s="627"/>
      <c r="F60" s="626"/>
      <c r="G60" s="626"/>
      <c r="H60" s="626"/>
      <c r="I60" s="628"/>
      <c r="J60" s="629"/>
      <c r="K60" s="629"/>
      <c r="L60" s="629"/>
      <c r="M60" s="630"/>
      <c r="N60" s="631"/>
      <c r="O60" s="632"/>
    </row>
    <row r="61" spans="1:16" ht="15.75" x14ac:dyDescent="0.2">
      <c r="A61" s="615" t="s">
        <v>320</v>
      </c>
      <c r="B61" s="575"/>
      <c r="C61" s="567"/>
      <c r="D61" s="567"/>
      <c r="E61" s="567"/>
      <c r="F61" s="567"/>
      <c r="G61" s="616" t="s">
        <v>321</v>
      </c>
      <c r="H61" s="567"/>
      <c r="I61" s="567"/>
      <c r="J61" s="570"/>
      <c r="K61" s="570"/>
      <c r="L61" s="570"/>
      <c r="M61" s="570"/>
      <c r="N61" s="570"/>
      <c r="O61" s="633"/>
    </row>
    <row r="62" spans="1:16" ht="12.75" customHeight="1" x14ac:dyDescent="0.2">
      <c r="A62" s="576"/>
      <c r="B62" s="575"/>
      <c r="C62" s="567"/>
      <c r="D62" s="567"/>
      <c r="E62" s="567"/>
      <c r="F62" s="567"/>
      <c r="G62" s="567"/>
      <c r="H62" s="567"/>
      <c r="I62" s="567"/>
      <c r="J62" s="570"/>
      <c r="K62" s="570"/>
      <c r="L62" s="570"/>
      <c r="M62" s="570"/>
      <c r="N62" s="570"/>
      <c r="O62" s="633"/>
    </row>
    <row r="63" spans="1:16" ht="15.75" x14ac:dyDescent="0.2">
      <c r="A63" s="577"/>
      <c r="B63" s="578" t="s">
        <v>227</v>
      </c>
      <c r="C63" s="579"/>
      <c r="D63" s="580"/>
      <c r="E63" s="594"/>
      <c r="F63" s="594"/>
      <c r="G63" s="594"/>
      <c r="H63" s="594"/>
      <c r="I63" s="582"/>
      <c r="J63" s="570"/>
      <c r="K63" s="582"/>
      <c r="L63" s="578" t="s">
        <v>228</v>
      </c>
      <c r="M63" s="583"/>
      <c r="N63" s="583"/>
      <c r="O63" s="634"/>
    </row>
    <row r="64" spans="1:16" ht="16.5" thickBot="1" x14ac:dyDescent="0.25">
      <c r="A64" s="584"/>
      <c r="B64" s="585"/>
      <c r="C64" s="586"/>
      <c r="D64" s="586"/>
      <c r="E64" s="586" t="s">
        <v>229</v>
      </c>
      <c r="F64" s="586"/>
      <c r="G64" s="586"/>
      <c r="H64" s="586"/>
      <c r="I64" s="587"/>
      <c r="J64" s="588"/>
      <c r="K64" s="588"/>
      <c r="L64" s="588"/>
      <c r="M64" s="588"/>
      <c r="N64" s="588"/>
      <c r="O64" s="635"/>
    </row>
    <row r="65" spans="1:16" ht="15.75" thickTop="1" x14ac:dyDescent="0.2">
      <c r="A65" s="589" t="s">
        <v>230</v>
      </c>
      <c r="B65" s="566"/>
      <c r="C65" s="567"/>
      <c r="D65" s="581"/>
      <c r="E65" s="581"/>
      <c r="F65" s="567"/>
      <c r="G65" s="581"/>
      <c r="H65" s="581"/>
      <c r="I65" s="568"/>
      <c r="J65" s="590"/>
      <c r="K65" s="567"/>
      <c r="L65" s="590"/>
      <c r="M65" s="567"/>
      <c r="N65" s="590"/>
      <c r="O65" s="591"/>
    </row>
    <row r="66" spans="1:16" x14ac:dyDescent="0.2">
      <c r="A66" s="574" t="s">
        <v>231</v>
      </c>
      <c r="B66" s="575"/>
      <c r="C66" s="567"/>
      <c r="D66" s="581"/>
      <c r="E66" s="581"/>
      <c r="F66" s="567"/>
      <c r="G66" s="581"/>
      <c r="H66" s="581"/>
      <c r="I66" s="567"/>
      <c r="J66" s="590"/>
      <c r="K66" s="567"/>
      <c r="L66" s="590"/>
      <c r="M66" s="567"/>
      <c r="N66" s="590"/>
      <c r="O66" s="591"/>
    </row>
    <row r="67" spans="1:16" ht="15.75" customHeight="1" x14ac:dyDescent="0.2">
      <c r="A67" s="576"/>
      <c r="B67" s="575"/>
      <c r="C67" s="567"/>
      <c r="D67" s="581"/>
      <c r="E67" s="581"/>
      <c r="F67" s="567"/>
      <c r="G67" s="581"/>
      <c r="H67" s="581"/>
      <c r="I67" s="567"/>
      <c r="J67" s="571"/>
      <c r="K67" s="567"/>
      <c r="L67" s="592"/>
      <c r="M67" s="567"/>
      <c r="N67" s="593"/>
      <c r="O67" s="591"/>
    </row>
    <row r="68" spans="1:16" ht="15.75" x14ac:dyDescent="0.2">
      <c r="A68" s="577"/>
      <c r="B68" s="578" t="s">
        <v>232</v>
      </c>
      <c r="C68" s="579"/>
      <c r="D68" s="594"/>
      <c r="E68" s="594"/>
      <c r="F68" s="580"/>
      <c r="G68" s="594"/>
      <c r="H68" s="594"/>
      <c r="I68" s="583"/>
      <c r="J68" s="617"/>
      <c r="K68" s="581"/>
      <c r="L68" s="578" t="s">
        <v>233</v>
      </c>
      <c r="M68" s="583"/>
      <c r="N68" s="595"/>
      <c r="O68" s="622"/>
    </row>
    <row r="69" spans="1:16" ht="15.75" x14ac:dyDescent="0.2">
      <c r="A69" s="597"/>
      <c r="B69" s="598"/>
      <c r="C69" s="599"/>
      <c r="D69" s="581"/>
      <c r="E69" s="581"/>
      <c r="F69" s="567"/>
      <c r="G69" s="581"/>
      <c r="H69" s="581"/>
      <c r="I69" s="582"/>
      <c r="J69" s="617"/>
      <c r="K69" s="578"/>
      <c r="L69" s="590"/>
      <c r="M69" s="582"/>
      <c r="N69" s="600"/>
      <c r="O69" s="596"/>
    </row>
    <row r="70" spans="1:16" x14ac:dyDescent="0.2">
      <c r="A70" s="618"/>
      <c r="B70" s="619" t="s">
        <v>228</v>
      </c>
      <c r="C70" s="580"/>
      <c r="D70" s="594"/>
      <c r="E70" s="594"/>
      <c r="F70" s="580"/>
      <c r="G70" s="594"/>
      <c r="H70" s="594"/>
      <c r="I70" s="580"/>
      <c r="J70" s="620"/>
      <c r="K70" s="619"/>
      <c r="L70" s="619" t="s">
        <v>228</v>
      </c>
      <c r="M70" s="583"/>
      <c r="N70" s="621"/>
      <c r="O70" s="622"/>
    </row>
    <row r="71" spans="1:16" x14ac:dyDescent="0.2">
      <c r="A71" s="623" t="s">
        <v>322</v>
      </c>
      <c r="B71" s="1715"/>
      <c r="C71" s="1716"/>
      <c r="D71" s="1716"/>
      <c r="E71" s="1716"/>
      <c r="F71" s="1716"/>
      <c r="G71" s="1716"/>
      <c r="H71" s="1716"/>
      <c r="I71" s="1716"/>
      <c r="J71" s="1716"/>
      <c r="K71" s="1716"/>
      <c r="L71" s="1716"/>
      <c r="M71" s="1716"/>
      <c r="N71" s="1716"/>
      <c r="O71" s="1717"/>
    </row>
    <row r="72" spans="1:16" ht="15.75" thickBot="1" x14ac:dyDescent="0.25">
      <c r="A72" s="624"/>
      <c r="B72" s="1718"/>
      <c r="C72" s="1718"/>
      <c r="D72" s="1718"/>
      <c r="E72" s="1718"/>
      <c r="F72" s="1718"/>
      <c r="G72" s="1718"/>
      <c r="H72" s="1718"/>
      <c r="I72" s="1718"/>
      <c r="J72" s="1718"/>
      <c r="K72" s="1718"/>
      <c r="L72" s="1718"/>
      <c r="M72" s="1718"/>
      <c r="N72" s="1718"/>
      <c r="O72" s="1719"/>
    </row>
    <row r="73" spans="1:16" ht="16.5" thickTop="1" x14ac:dyDescent="0.2">
      <c r="A73" s="432" t="s">
        <v>230</v>
      </c>
      <c r="B73" s="433"/>
      <c r="C73" s="434"/>
      <c r="D73" s="371"/>
      <c r="E73" s="371"/>
      <c r="F73" s="434"/>
      <c r="G73" s="371"/>
      <c r="H73" s="371"/>
      <c r="I73" s="434"/>
      <c r="J73" s="371"/>
      <c r="K73" s="433"/>
      <c r="L73" s="371"/>
      <c r="M73" s="434"/>
      <c r="N73" s="435"/>
      <c r="O73" s="436"/>
    </row>
    <row r="74" spans="1:16" ht="15.75" x14ac:dyDescent="0.2">
      <c r="A74" s="437" t="s">
        <v>234</v>
      </c>
      <c r="B74" s="438" t="s">
        <v>235</v>
      </c>
      <c r="C74" s="431"/>
      <c r="D74" s="79"/>
      <c r="E74" s="79"/>
      <c r="F74" s="431"/>
      <c r="G74" s="79"/>
      <c r="H74" s="79"/>
      <c r="I74" s="431"/>
      <c r="J74" s="79"/>
      <c r="K74" s="431"/>
      <c r="L74" s="79"/>
      <c r="M74" s="431" t="str">
        <f>LOWER(L75)</f>
        <v>less penalty applied</v>
      </c>
      <c r="N74" s="439"/>
      <c r="O74" s="440"/>
    </row>
    <row r="75" spans="1:16" ht="38.25" x14ac:dyDescent="0.2">
      <c r="A75" s="441" t="s">
        <v>236</v>
      </c>
      <c r="B75" s="1477" t="s">
        <v>237</v>
      </c>
      <c r="C75" s="1794" t="s">
        <v>238</v>
      </c>
      <c r="D75" s="1861"/>
      <c r="E75" s="1735" t="s">
        <v>619</v>
      </c>
      <c r="F75" s="1862"/>
      <c r="G75" s="1862"/>
      <c r="H75" s="444" t="s">
        <v>240</v>
      </c>
      <c r="I75" s="1735" t="s">
        <v>241</v>
      </c>
      <c r="J75" s="1855"/>
      <c r="K75" s="1477" t="s">
        <v>242</v>
      </c>
      <c r="L75" s="1498" t="s">
        <v>376</v>
      </c>
      <c r="M75" s="1479" t="s">
        <v>243</v>
      </c>
      <c r="N75" s="1735" t="s">
        <v>244</v>
      </c>
      <c r="O75" s="1814"/>
    </row>
    <row r="76" spans="1:16" x14ac:dyDescent="0.2">
      <c r="A76" s="445" t="s">
        <v>245</v>
      </c>
      <c r="B76" s="1478">
        <f>'Previous Claims'!M42-C76-E76-H76-I76-M76</f>
        <v>0</v>
      </c>
      <c r="C76" s="1733">
        <f>'Time Based'!I71</f>
        <v>0</v>
      </c>
      <c r="D76" s="1858"/>
      <c r="E76" s="1796">
        <f>'Subsistance &amp; Travelling'!O87</f>
        <v>0</v>
      </c>
      <c r="F76" s="1859"/>
      <c r="G76" s="1859"/>
      <c r="H76" s="1476">
        <f>'Typing, Duplicating, &amp; Printing'!J64</f>
        <v>0</v>
      </c>
      <c r="I76" s="1736">
        <f>'Site staff &amp; Other'!I67</f>
        <v>0</v>
      </c>
      <c r="J76" s="1860"/>
      <c r="K76" s="1478">
        <f>'Previous Claims'!I42</f>
        <v>0</v>
      </c>
      <c r="L76" s="1505"/>
      <c r="M76" s="1475">
        <f>'Non Taxable'!J20</f>
        <v>0</v>
      </c>
      <c r="N76" s="1736">
        <f>SUM(B76:M76)</f>
        <v>0</v>
      </c>
      <c r="O76" s="1814"/>
    </row>
    <row r="77" spans="1:16" x14ac:dyDescent="0.2">
      <c r="A77" s="445" t="s">
        <v>246</v>
      </c>
      <c r="B77" s="1478">
        <f>O42-B76</f>
        <v>0</v>
      </c>
      <c r="C77" s="1733">
        <f>O46-C76</f>
        <v>0</v>
      </c>
      <c r="D77" s="1734"/>
      <c r="E77" s="1779">
        <f>O49-E76</f>
        <v>0</v>
      </c>
      <c r="F77" s="1780"/>
      <c r="G77" s="1781"/>
      <c r="H77" s="639">
        <f>O50-H76</f>
        <v>0</v>
      </c>
      <c r="I77" s="1733">
        <f>O51+O52-I76</f>
        <v>0</v>
      </c>
      <c r="J77" s="1734"/>
      <c r="K77" s="1478">
        <f>O57</f>
        <v>0</v>
      </c>
      <c r="L77" s="1505">
        <f>-O47</f>
        <v>0</v>
      </c>
      <c r="M77" s="1475">
        <f>O58</f>
        <v>0</v>
      </c>
      <c r="N77" s="1736">
        <f>N78-N76</f>
        <v>0</v>
      </c>
      <c r="O77" s="1814"/>
      <c r="P77" s="1507"/>
    </row>
    <row r="78" spans="1:16" x14ac:dyDescent="0.2">
      <c r="A78" s="445" t="s">
        <v>247</v>
      </c>
      <c r="B78" s="1478">
        <f>B76+B77</f>
        <v>0</v>
      </c>
      <c r="C78" s="1733">
        <f>C76+C77</f>
        <v>0</v>
      </c>
      <c r="D78" s="1858"/>
      <c r="E78" s="1796">
        <f>E76+E77</f>
        <v>0</v>
      </c>
      <c r="F78" s="1859"/>
      <c r="G78" s="1859"/>
      <c r="H78" s="1476">
        <f>H76+H77</f>
        <v>0</v>
      </c>
      <c r="I78" s="1736">
        <f>I76+I77</f>
        <v>0</v>
      </c>
      <c r="J78" s="1860"/>
      <c r="K78" s="1478">
        <f>K76+K77</f>
        <v>0</v>
      </c>
      <c r="L78" s="1505">
        <f>L76+L77</f>
        <v>0</v>
      </c>
      <c r="M78" s="1475">
        <f>M76+M77</f>
        <v>0</v>
      </c>
      <c r="N78" s="1736">
        <f>SUM(B78:M78)</f>
        <v>0</v>
      </c>
      <c r="O78" s="1814"/>
      <c r="P78" s="1507"/>
    </row>
    <row r="79" spans="1:16" ht="15.75" thickBot="1" x14ac:dyDescent="0.25">
      <c r="A79" s="446" t="s">
        <v>234</v>
      </c>
      <c r="B79" s="640"/>
      <c r="C79" s="1849"/>
      <c r="D79" s="1850"/>
      <c r="E79" s="1851"/>
      <c r="F79" s="1852"/>
      <c r="G79" s="1852"/>
      <c r="H79" s="641"/>
      <c r="I79" s="1853"/>
      <c r="J79" s="1854"/>
      <c r="K79" s="1481"/>
      <c r="L79" s="1480"/>
      <c r="M79" s="1506"/>
      <c r="N79" s="1847">
        <f>SUM(B79:L79)</f>
        <v>0</v>
      </c>
      <c r="O79" s="1848"/>
    </row>
    <row r="80" spans="1:16" ht="16.5" thickTop="1" thickBot="1" x14ac:dyDescent="0.25">
      <c r="A80" s="1499" t="s">
        <v>250</v>
      </c>
      <c r="B80" s="1500"/>
      <c r="C80" s="1500"/>
      <c r="D80" s="1500"/>
      <c r="E80" s="1500"/>
      <c r="F80" s="1500"/>
      <c r="G80" s="1500"/>
      <c r="H80" s="1500"/>
      <c r="I80" s="1500"/>
      <c r="J80" s="1500"/>
      <c r="K80" s="1500"/>
      <c r="L80" s="1500"/>
      <c r="M80" s="1500"/>
      <c r="N80" s="1500"/>
      <c r="O80" s="1501"/>
    </row>
    <row r="81" spans="1:15" ht="16.5" thickTop="1" thickBot="1" x14ac:dyDescent="0.25">
      <c r="A81" s="1502" t="s">
        <v>249</v>
      </c>
      <c r="B81" s="1503"/>
      <c r="C81" s="1503"/>
      <c r="D81" s="1503"/>
      <c r="E81" s="1503"/>
      <c r="F81" s="1503"/>
      <c r="G81" s="1503"/>
      <c r="H81" s="1503"/>
      <c r="I81" s="1503"/>
      <c r="J81" s="1503"/>
      <c r="K81" s="1503"/>
      <c r="L81" s="1503"/>
      <c r="M81" s="1503"/>
      <c r="N81" s="1503"/>
      <c r="O81" s="1504"/>
    </row>
    <row r="82" spans="1:15" ht="18.75" thickTop="1" x14ac:dyDescent="0.2">
      <c r="A82" s="314" t="s">
        <v>220</v>
      </c>
      <c r="B82" s="71"/>
      <c r="C82" s="71"/>
      <c r="D82" s="71"/>
      <c r="E82" s="71"/>
      <c r="F82" s="71"/>
      <c r="G82" s="71"/>
      <c r="H82" s="71"/>
      <c r="I82" s="71"/>
      <c r="J82" s="71"/>
      <c r="K82" s="71"/>
      <c r="L82" s="71"/>
      <c r="M82" s="71"/>
      <c r="N82" s="71"/>
      <c r="O82" s="72"/>
    </row>
    <row r="83" spans="1:15" ht="15" customHeight="1" thickBot="1" x14ac:dyDescent="0.25">
      <c r="A83" s="1768" t="s">
        <v>258</v>
      </c>
      <c r="B83" s="1856"/>
      <c r="C83" s="1856"/>
      <c r="D83" s="1856"/>
      <c r="E83" s="1856"/>
      <c r="F83" s="36"/>
      <c r="G83" s="36"/>
      <c r="H83" s="43"/>
      <c r="I83" s="719">
        <f>IF('Input Data'!$F$32=1,0.05,IF('Input Data'!$F$32=2,Scales!$L$5,IF('Input Data'!$F$32=3,Scales!$L$6,IF('Input Data'!$F$32&gt;3,0.5))))</f>
        <v>0.05</v>
      </c>
      <c r="J83" s="67" t="s">
        <v>2</v>
      </c>
      <c r="K83" s="73">
        <f>IF('Input Data'!$E$10="B",'Input Data'!$H$42,0)</f>
        <v>0</v>
      </c>
      <c r="L83" s="70" t="s">
        <v>24</v>
      </c>
      <c r="M83" s="66">
        <f>IF('Input Data'!$H$42&gt;0,IF('Input Data'!$D$34="N",$O$24,0),0)</f>
        <v>0</v>
      </c>
      <c r="N83" s="67" t="s">
        <v>204</v>
      </c>
      <c r="O83" s="720">
        <f>IF('Input Data'!$E$10="B",IF('Input Data'!$H$42&gt;0,IF('Input Data'!$D$34="N",(I83*K83/K84*M83),0),0),0)</f>
        <v>0</v>
      </c>
    </row>
    <row r="84" spans="1:15" x14ac:dyDescent="0.2">
      <c r="A84" s="1857"/>
      <c r="B84" s="1856"/>
      <c r="C84" s="1856"/>
      <c r="D84" s="1856"/>
      <c r="E84" s="1856"/>
      <c r="F84" s="36"/>
      <c r="G84" s="74"/>
      <c r="H84" s="45"/>
      <c r="I84" s="44"/>
      <c r="J84" s="66"/>
      <c r="K84" s="66">
        <f>IF('Input Data'!$E$10="B",IF('Input Data'!$H$42&gt;0,'Input Data'!$H$46,0),0)</f>
        <v>0</v>
      </c>
      <c r="L84" s="70"/>
      <c r="M84" s="66"/>
      <c r="N84" s="69"/>
      <c r="O84" s="720"/>
    </row>
    <row r="85" spans="1:15" x14ac:dyDescent="0.2">
      <c r="A85" s="55"/>
      <c r="B85" s="35"/>
      <c r="C85" s="36"/>
      <c r="D85" s="36"/>
      <c r="E85" s="36"/>
      <c r="F85" s="36"/>
      <c r="G85" s="48"/>
      <c r="H85" s="49"/>
      <c r="I85" s="37"/>
      <c r="J85" s="75"/>
      <c r="K85" s="75"/>
      <c r="L85" s="76"/>
      <c r="M85" s="75"/>
      <c r="N85" s="75"/>
      <c r="O85" s="721"/>
    </row>
    <row r="86" spans="1:15" ht="15" customHeight="1" thickBot="1" x14ac:dyDescent="0.25">
      <c r="A86" s="1771" t="s">
        <v>139</v>
      </c>
      <c r="B86" s="1789"/>
      <c r="C86" s="1856"/>
      <c r="D86" s="1856"/>
      <c r="E86" s="44"/>
      <c r="F86" s="290"/>
      <c r="G86" s="48">
        <f>IF('Input Data'!$H$43&gt;0,1.25,0)</f>
        <v>0</v>
      </c>
      <c r="H86" s="43" t="s">
        <v>1</v>
      </c>
      <c r="I86" s="719">
        <f>IF('Input Data'!$F$32=1,0.05,IF('Input Data'!$F$32=2,Scales!$L$5,IF('Input Data'!$F$32=3,Scales!$L$6,IF('Input Data'!$F$32&gt;3,0.5))))</f>
        <v>0.05</v>
      </c>
      <c r="J86" s="67" t="s">
        <v>2</v>
      </c>
      <c r="K86" s="73">
        <f>IF('Input Data'!$E$10="B",'Input Data'!$H$43,0)</f>
        <v>0</v>
      </c>
      <c r="L86" s="70" t="s">
        <v>24</v>
      </c>
      <c r="M86" s="66">
        <f>IF('Input Data'!$H$43&gt;0,IF('Input Data'!$D$34="N",$O$24,0),0)</f>
        <v>0</v>
      </c>
      <c r="N86" s="67" t="s">
        <v>204</v>
      </c>
      <c r="O86" s="720">
        <f>IF('Input Data'!$E$10="B",IF('Input Data'!$H$43&gt;0,IF('Input Data'!$D$34="N",(G86*I86*K86/K87*M86),0),0),0)</f>
        <v>0</v>
      </c>
    </row>
    <row r="87" spans="1:15" x14ac:dyDescent="0.2">
      <c r="A87" s="1864"/>
      <c r="B87" s="1838"/>
      <c r="C87" s="1838"/>
      <c r="D87" s="1838"/>
      <c r="E87" s="36"/>
      <c r="F87" s="36"/>
      <c r="G87" s="48"/>
      <c r="H87" s="49"/>
      <c r="I87" s="37"/>
      <c r="J87" s="75"/>
      <c r="K87" s="66">
        <f>IF('Input Data'!$E$10="B",IF('Input Data'!$H$43&gt;0,'Input Data'!$H$46,0),0)</f>
        <v>0</v>
      </c>
      <c r="L87" s="76"/>
      <c r="M87" s="75"/>
      <c r="N87" s="75"/>
      <c r="O87" s="721"/>
    </row>
    <row r="88" spans="1:15" x14ac:dyDescent="0.2">
      <c r="A88" s="283"/>
      <c r="B88" s="33"/>
      <c r="C88" s="33"/>
      <c r="D88" s="33"/>
      <c r="E88" s="36"/>
      <c r="F88" s="36"/>
      <c r="G88" s="48"/>
      <c r="H88" s="49"/>
      <c r="I88" s="44"/>
      <c r="J88" s="67"/>
      <c r="K88" s="77"/>
      <c r="L88" s="76"/>
      <c r="M88" s="77"/>
      <c r="N88" s="75"/>
      <c r="O88" s="721"/>
    </row>
    <row r="89" spans="1:15" ht="15" customHeight="1" thickBot="1" x14ac:dyDescent="0.25">
      <c r="A89" s="1772" t="s">
        <v>105</v>
      </c>
      <c r="B89" s="1773"/>
      <c r="C89" s="1773"/>
      <c r="D89" s="1773"/>
      <c r="E89" s="36"/>
      <c r="F89" s="290"/>
      <c r="G89" s="48">
        <f>IF('Input Data'!$H$44&gt;0,0.25,0)</f>
        <v>0</v>
      </c>
      <c r="H89" s="49" t="s">
        <v>24</v>
      </c>
      <c r="I89" s="719">
        <f>IF('Input Data'!$F$32=1,0.05,IF('Input Data'!$F$32=2,Scales!$L$5,IF('Input Data'!$F$32=3,Scales!$L$6,IF('Input Data'!$F$32&gt;3,0.5))))</f>
        <v>0.05</v>
      </c>
      <c r="J89" s="67" t="s">
        <v>2</v>
      </c>
      <c r="K89" s="73">
        <f>IF('Input Data'!$E$10="B",'Input Data'!$H$44,0)</f>
        <v>0</v>
      </c>
      <c r="L89" s="76" t="s">
        <v>24</v>
      </c>
      <c r="M89" s="66">
        <f>IF('Input Data'!$H$44&gt;0,IF('Input Data'!$D$34="N",$O$24,0),0)</f>
        <v>0</v>
      </c>
      <c r="N89" s="67" t="s">
        <v>204</v>
      </c>
      <c r="O89" s="720">
        <f>IF('Input Data'!$E$10="B",IF('Input Data'!$H$44&gt;0,IF('Input Data'!$D$34="N",(G89*I89*K89/K90*M89),0),0),0)</f>
        <v>0</v>
      </c>
    </row>
    <row r="90" spans="1:15" x14ac:dyDescent="0.2">
      <c r="A90" s="1863"/>
      <c r="B90" s="1773"/>
      <c r="C90" s="1773"/>
      <c r="D90" s="1773"/>
      <c r="E90" s="36"/>
      <c r="F90" s="36"/>
      <c r="G90" s="48"/>
      <c r="H90" s="49"/>
      <c r="I90" s="44"/>
      <c r="J90" s="67"/>
      <c r="K90" s="66">
        <f>IF('Input Data'!$E$10="B",IF('Input Data'!$H$44&gt;0,'Input Data'!$H$46,0),0)</f>
        <v>0</v>
      </c>
      <c r="L90" s="76"/>
      <c r="M90" s="77"/>
      <c r="N90" s="75"/>
      <c r="O90" s="721"/>
    </row>
    <row r="91" spans="1:15" x14ac:dyDescent="0.2">
      <c r="A91" s="34"/>
      <c r="B91" s="35"/>
      <c r="C91" s="36"/>
      <c r="D91" s="36"/>
      <c r="E91" s="36"/>
      <c r="F91" s="36"/>
      <c r="G91" s="48"/>
      <c r="H91" s="49"/>
      <c r="I91" s="44"/>
      <c r="J91" s="67"/>
      <c r="K91" s="77"/>
      <c r="L91" s="76"/>
      <c r="M91" s="77"/>
      <c r="N91" s="75"/>
      <c r="O91" s="721"/>
    </row>
    <row r="92" spans="1:15" ht="15" customHeight="1" thickBot="1" x14ac:dyDescent="0.25">
      <c r="A92" s="1772" t="s">
        <v>144</v>
      </c>
      <c r="B92" s="1773"/>
      <c r="C92" s="1773"/>
      <c r="D92" s="1773"/>
      <c r="E92" s="48">
        <f>IF('Input Data'!$H$45&gt;0,0.25,0)</f>
        <v>0</v>
      </c>
      <c r="F92" s="43" t="s">
        <v>1</v>
      </c>
      <c r="G92" s="48">
        <f>IF('Input Data'!$H$45&gt;0,1.25,0)</f>
        <v>0</v>
      </c>
      <c r="H92" s="43" t="s">
        <v>1</v>
      </c>
      <c r="I92" s="719">
        <f>IF('Input Data'!$F$32=1,0.05,IF('Input Data'!$F$32=2,Scales!$L$5,IF('Input Data'!$F$32=3,Scales!$L$6,IF('Input Data'!$F$32&gt;3,0.5))))</f>
        <v>0.05</v>
      </c>
      <c r="J92" s="67" t="s">
        <v>2</v>
      </c>
      <c r="K92" s="73">
        <f>IF('Input Data'!$E$10="B",'Input Data'!$H$45,0)</f>
        <v>0</v>
      </c>
      <c r="L92" s="43" t="s">
        <v>1</v>
      </c>
      <c r="M92" s="66">
        <f>IF('Input Data'!$H$45&gt;0,IF('Input Data'!$D$34="N",$O$24,0),0)</f>
        <v>0</v>
      </c>
      <c r="N92" s="263" t="s">
        <v>204</v>
      </c>
      <c r="O92" s="720">
        <f>IF('Input Data'!$E$10="B",IF('Input Data'!$H$45&gt;0,IF('Input Data'!$D$34="N",(E92*G92*I92*K92/K93*M92),0),0),0)</f>
        <v>0</v>
      </c>
    </row>
    <row r="93" spans="1:15" x14ac:dyDescent="0.2">
      <c r="A93" s="1774"/>
      <c r="B93" s="1775"/>
      <c r="C93" s="1775"/>
      <c r="D93" s="1775"/>
      <c r="E93" s="33"/>
      <c r="F93" s="33"/>
      <c r="G93" s="48"/>
      <c r="H93" s="49"/>
      <c r="I93" s="44"/>
      <c r="J93" s="75"/>
      <c r="K93" s="66">
        <f>IF('Input Data'!$E$10="B",IF('Input Data'!$H$45&gt;0,'Input Data'!$H$46,0),0)</f>
        <v>0</v>
      </c>
      <c r="L93" s="76"/>
      <c r="M93" s="75"/>
      <c r="N93" s="75"/>
      <c r="O93" s="721"/>
    </row>
    <row r="94" spans="1:15" x14ac:dyDescent="0.2">
      <c r="A94" s="50"/>
      <c r="B94" s="56"/>
      <c r="C94" s="56"/>
      <c r="D94" s="56"/>
      <c r="E94" s="56"/>
      <c r="F94" s="56"/>
      <c r="G94" s="56"/>
      <c r="H94" s="56"/>
      <c r="I94" s="78"/>
      <c r="J94" s="78"/>
      <c r="K94" s="79"/>
      <c r="L94" s="79"/>
      <c r="M94" s="79"/>
      <c r="N94" s="79"/>
      <c r="O94" s="723"/>
    </row>
    <row r="95" spans="1:15" ht="15.75" thickBot="1" x14ac:dyDescent="0.25">
      <c r="A95" s="38"/>
      <c r="B95" s="39"/>
      <c r="C95" s="39"/>
      <c r="D95" s="39"/>
      <c r="E95" s="39"/>
      <c r="F95" s="39"/>
      <c r="G95" s="40"/>
      <c r="H95" s="40"/>
      <c r="I95" s="41"/>
      <c r="J95" s="80"/>
      <c r="K95" s="81"/>
      <c r="L95" s="41"/>
      <c r="M95" s="299" t="s">
        <v>222</v>
      </c>
      <c r="N95" s="41"/>
      <c r="O95" s="759">
        <f>SUM(O83:O94)</f>
        <v>0</v>
      </c>
    </row>
    <row r="96" spans="1:15" ht="18.75" thickTop="1" x14ac:dyDescent="0.2">
      <c r="A96" s="315" t="s">
        <v>221</v>
      </c>
      <c r="B96" s="35"/>
      <c r="C96" s="35"/>
      <c r="D96" s="35"/>
      <c r="E96" s="35"/>
      <c r="F96" s="35"/>
      <c r="G96" s="35"/>
      <c r="H96" s="35"/>
      <c r="I96" s="35"/>
      <c r="J96" s="35"/>
      <c r="K96" s="35"/>
      <c r="L96" s="35"/>
      <c r="M96" s="82"/>
      <c r="N96" s="35"/>
      <c r="O96" s="721"/>
    </row>
    <row r="97" spans="1:15" ht="15" customHeight="1" thickBot="1" x14ac:dyDescent="0.25">
      <c r="A97" s="1768" t="s">
        <v>257</v>
      </c>
      <c r="B97" s="1769"/>
      <c r="C97" s="1769"/>
      <c r="D97" s="1769"/>
      <c r="E97" s="43"/>
      <c r="F97" s="43"/>
      <c r="G97" s="36"/>
      <c r="H97" s="276"/>
      <c r="I97" s="44">
        <f>IF('Input Data'!$F$32&lt;4,0,IF('Input Data'!$F$32=4,0.4,IF('Input Data'!$F$32=5,0.5)))</f>
        <v>0</v>
      </c>
      <c r="J97" s="65" t="s">
        <v>2</v>
      </c>
      <c r="K97" s="83">
        <f>IF('Input Data'!$E$10="B",IF('Input Data'!$F$32&gt;3,'Input Data'!$H$50,0),0)</f>
        <v>0</v>
      </c>
      <c r="L97" s="70" t="s">
        <v>24</v>
      </c>
      <c r="M97" s="68">
        <f>IF('Input Data'!$E$10="B",IF('Input Data'!$F$32&gt;3,IF('Input Data'!$H$50&gt;0,$O$24,0),0),0)</f>
        <v>0</v>
      </c>
      <c r="N97" s="263" t="s">
        <v>204</v>
      </c>
      <c r="O97" s="720">
        <f>IF($M$97&gt;0,(I97*K97/K98*M97),0)</f>
        <v>0</v>
      </c>
    </row>
    <row r="98" spans="1:15" x14ac:dyDescent="0.2">
      <c r="A98" s="1770"/>
      <c r="B98" s="1769"/>
      <c r="C98" s="1769"/>
      <c r="D98" s="1769"/>
      <c r="E98" s="45"/>
      <c r="F98" s="45"/>
      <c r="G98" s="36"/>
      <c r="H98" s="36"/>
      <c r="I98" s="44"/>
      <c r="J98" s="47"/>
      <c r="K98" s="66">
        <f>IF($K$97&gt;0,IF('Input Data'!$F$32=4,'Input Data'!$H$46,IF('Input Data'!$F$32=5,'Input Data'!$H$52,0)),0)</f>
        <v>0</v>
      </c>
      <c r="L98" s="70"/>
      <c r="M98" s="66"/>
      <c r="N98" s="66"/>
      <c r="O98" s="720"/>
    </row>
    <row r="99" spans="1:15" x14ac:dyDescent="0.2">
      <c r="A99" s="364"/>
      <c r="B99" s="61"/>
      <c r="C99" s="61"/>
      <c r="D99" s="61"/>
      <c r="E99" s="45"/>
      <c r="F99" s="45"/>
      <c r="G99" s="36"/>
      <c r="H99" s="36"/>
      <c r="I99" s="44"/>
      <c r="J99" s="47"/>
      <c r="K99" s="66"/>
      <c r="L99" s="70"/>
      <c r="M99" s="66"/>
      <c r="N99" s="66"/>
      <c r="O99" s="720"/>
    </row>
    <row r="100" spans="1:15" ht="15" customHeight="1" thickBot="1" x14ac:dyDescent="0.25">
      <c r="A100" s="1771" t="s">
        <v>139</v>
      </c>
      <c r="B100" s="1789"/>
      <c r="C100" s="1769"/>
      <c r="D100" s="1769"/>
      <c r="E100" s="43"/>
      <c r="F100" s="275"/>
      <c r="G100" s="48">
        <f>IF('Input Data'!$H$51&gt;0,1.25,0)</f>
        <v>0</v>
      </c>
      <c r="H100" s="36" t="s">
        <v>24</v>
      </c>
      <c r="I100" s="44">
        <f>IF('Input Data'!$F$32&lt;4,0,IF('Input Data'!$F$32=4,0.4,IF('Input Data'!$F$32=5,0.5)))</f>
        <v>0</v>
      </c>
      <c r="J100" s="65" t="s">
        <v>2</v>
      </c>
      <c r="K100" s="83">
        <f>IF('Input Data'!$F$32&gt;3,IF('Input Data'!$E$10="B",'Input Data'!$H$51,0),0)</f>
        <v>0</v>
      </c>
      <c r="L100" s="70" t="s">
        <v>24</v>
      </c>
      <c r="M100" s="68">
        <f>IF('Input Data'!$E$10="B",IF('Input Data'!$F$32&gt;3,IF('Input Data'!$H$51&gt;0,$O$24,0),0),0)</f>
        <v>0</v>
      </c>
      <c r="N100" s="263" t="s">
        <v>204</v>
      </c>
      <c r="O100" s="720">
        <f>IF($M$100&gt;0,(G100*I100*K100/K101*M100),0)</f>
        <v>0</v>
      </c>
    </row>
    <row r="101" spans="1:15" x14ac:dyDescent="0.2">
      <c r="A101" s="1770"/>
      <c r="B101" s="1769"/>
      <c r="C101" s="1769"/>
      <c r="D101" s="1769"/>
      <c r="E101" s="49"/>
      <c r="F101" s="49"/>
      <c r="G101" s="36"/>
      <c r="H101" s="36"/>
      <c r="I101" s="37"/>
      <c r="J101" s="35"/>
      <c r="K101" s="66">
        <f>IF($K$100&gt;0,IF('Input Data'!$F$32=4,'Input Data'!$H$46,IF('Input Data'!$F$32=5,'Input Data'!$H$52,0)),0)</f>
        <v>0</v>
      </c>
      <c r="L101" s="76"/>
      <c r="M101" s="75"/>
      <c r="N101" s="75"/>
      <c r="O101" s="721"/>
    </row>
    <row r="102" spans="1:15" x14ac:dyDescent="0.2">
      <c r="A102" s="304"/>
      <c r="B102" s="56"/>
      <c r="C102" s="51"/>
      <c r="D102" s="51"/>
      <c r="E102" s="51"/>
      <c r="F102" s="51"/>
      <c r="G102" s="51"/>
      <c r="H102" s="51"/>
      <c r="I102" s="52"/>
      <c r="J102" s="305"/>
      <c r="K102" s="52"/>
      <c r="L102" s="306"/>
      <c r="M102" s="269"/>
      <c r="N102" s="307"/>
      <c r="O102" s="721"/>
    </row>
    <row r="103" spans="1:15" ht="25.5" customHeight="1" thickBot="1" x14ac:dyDescent="0.25">
      <c r="A103" s="255"/>
      <c r="B103" s="256"/>
      <c r="C103" s="256"/>
      <c r="D103" s="308"/>
      <c r="E103" s="308"/>
      <c r="F103" s="308"/>
      <c r="G103" s="309"/>
      <c r="H103" s="310"/>
      <c r="I103" s="336"/>
      <c r="J103" s="311"/>
      <c r="K103" s="312"/>
      <c r="L103" s="312"/>
      <c r="M103" s="349" t="s">
        <v>223</v>
      </c>
      <c r="N103" s="312"/>
      <c r="O103" s="759">
        <f>SUM(O97:O101)</f>
        <v>0</v>
      </c>
    </row>
    <row r="104" spans="1:15" ht="26.25" customHeight="1" thickTop="1" thickBot="1" x14ac:dyDescent="0.25">
      <c r="A104" s="452"/>
      <c r="B104" s="39"/>
      <c r="C104" s="39"/>
      <c r="D104" s="39"/>
      <c r="E104" s="39"/>
      <c r="F104" s="39"/>
      <c r="G104" s="39"/>
      <c r="H104" s="39"/>
      <c r="I104" s="363"/>
      <c r="J104" s="39"/>
      <c r="K104" s="39"/>
      <c r="L104" s="39"/>
      <c r="M104" s="642" t="s">
        <v>21</v>
      </c>
      <c r="N104" s="39"/>
      <c r="O104" s="724">
        <f>O95+O103</f>
        <v>0</v>
      </c>
    </row>
    <row r="105" spans="1:15" ht="15.75" thickTop="1" x14ac:dyDescent="0.2">
      <c r="A105" s="317"/>
      <c r="B105" s="112"/>
      <c r="C105" s="112"/>
      <c r="D105" s="112"/>
      <c r="E105" s="112"/>
    </row>
  </sheetData>
  <sheetProtection password="CD4C" sheet="1" objects="1" scenarios="1" formatCells="0" formatColumns="0" formatRows="0"/>
  <mergeCells count="68">
    <mergeCell ref="D2:J2"/>
    <mergeCell ref="D18:G18"/>
    <mergeCell ref="D16:G16"/>
    <mergeCell ref="D17:G17"/>
    <mergeCell ref="I9:M9"/>
    <mergeCell ref="L11:O11"/>
    <mergeCell ref="B7:G7"/>
    <mergeCell ref="B8:D8"/>
    <mergeCell ref="N17:O17"/>
    <mergeCell ref="H18:I18"/>
    <mergeCell ref="N18:O18"/>
    <mergeCell ref="B10:C10"/>
    <mergeCell ref="H17:I17"/>
    <mergeCell ref="E8:G8"/>
    <mergeCell ref="B14:M14"/>
    <mergeCell ref="E11:G11"/>
    <mergeCell ref="A89:D90"/>
    <mergeCell ref="A92:D93"/>
    <mergeCell ref="A97:D98"/>
    <mergeCell ref="A100:D101"/>
    <mergeCell ref="A86:D87"/>
    <mergeCell ref="I75:J75"/>
    <mergeCell ref="A83:E84"/>
    <mergeCell ref="C76:D76"/>
    <mergeCell ref="E76:G76"/>
    <mergeCell ref="I76:J76"/>
    <mergeCell ref="C75:D75"/>
    <mergeCell ref="E75:G75"/>
    <mergeCell ref="C78:D78"/>
    <mergeCell ref="E78:G78"/>
    <mergeCell ref="I78:J78"/>
    <mergeCell ref="N79:O79"/>
    <mergeCell ref="C79:D79"/>
    <mergeCell ref="E79:G79"/>
    <mergeCell ref="I79:J79"/>
    <mergeCell ref="N78:O78"/>
    <mergeCell ref="H19:I19"/>
    <mergeCell ref="N19:O19"/>
    <mergeCell ref="E77:G77"/>
    <mergeCell ref="I77:J77"/>
    <mergeCell ref="K53:M53"/>
    <mergeCell ref="I56:N56"/>
    <mergeCell ref="I59:N59"/>
    <mergeCell ref="H20:I20"/>
    <mergeCell ref="L20:O20"/>
    <mergeCell ref="J21:N21"/>
    <mergeCell ref="B21:H21"/>
    <mergeCell ref="D20:G20"/>
    <mergeCell ref="A22:B22"/>
    <mergeCell ref="J22:N22"/>
    <mergeCell ref="N75:O75"/>
    <mergeCell ref="C77:D77"/>
    <mergeCell ref="N76:O76"/>
    <mergeCell ref="N77:O77"/>
    <mergeCell ref="K2:O2"/>
    <mergeCell ref="B71:O72"/>
    <mergeCell ref="N13:O13"/>
    <mergeCell ref="B15:M15"/>
    <mergeCell ref="H8:K8"/>
    <mergeCell ref="N4:O4"/>
    <mergeCell ref="B6:M6"/>
    <mergeCell ref="M5:O5"/>
    <mergeCell ref="F5:G5"/>
    <mergeCell ref="B11:C11"/>
    <mergeCell ref="I11:J11"/>
    <mergeCell ref="B9:G9"/>
    <mergeCell ref="B13:L13"/>
    <mergeCell ref="I10:K10"/>
  </mergeCells>
  <phoneticPr fontId="54" type="noConversion"/>
  <conditionalFormatting sqref="H79:I79 E79 B79:C79 K79 N79">
    <cfRule type="expression" dxfId="2" priority="1" stopIfTrue="1">
      <formula>B79&lt;B78</formula>
    </cfRule>
  </conditionalFormatting>
  <conditionalFormatting sqref="L79">
    <cfRule type="expression" dxfId="1" priority="5" stopIfTrue="1">
      <formula>L79&lt;M78</formula>
    </cfRule>
  </conditionalFormatting>
  <conditionalFormatting sqref="O79">
    <cfRule type="expression" dxfId="0" priority="6" stopIfTrue="1">
      <formula>O79&lt;#REF!</formula>
    </cfRule>
  </conditionalFormatting>
  <pageMargins left="0.75" right="0.75" top="1" bottom="1" header="0.5" footer="0.5"/>
  <pageSetup paperSize="9" scale="52" orientation="portrait" horizontalDpi="4294967293" r:id="rId1"/>
  <headerFooter alignWithMargins="0"/>
  <rowBreaks count="1" manualBreakCount="1">
    <brk id="79" max="1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L20"/>
  <sheetViews>
    <sheetView zoomScale="75" workbookViewId="0">
      <selection activeCell="H22" sqref="H22"/>
    </sheetView>
  </sheetViews>
  <sheetFormatPr defaultRowHeight="15" x14ac:dyDescent="0.2"/>
  <cols>
    <col min="1" max="1" width="4.5546875" customWidth="1"/>
    <col min="2" max="2" width="14.33203125" customWidth="1"/>
    <col min="3" max="3" width="14" customWidth="1"/>
    <col min="4" max="4" width="14.21875" customWidth="1"/>
    <col min="5" max="5" width="8.77734375" customWidth="1"/>
    <col min="6" max="6" width="3" customWidth="1"/>
    <col min="8" max="8" width="30.88671875" customWidth="1"/>
    <col min="10" max="10" width="2.6640625" customWidth="1"/>
  </cols>
  <sheetData>
    <row r="1" spans="2:12" ht="18" x14ac:dyDescent="0.25">
      <c r="B1" s="802" t="s">
        <v>346</v>
      </c>
    </row>
    <row r="2" spans="2:12" ht="16.5" thickBot="1" x14ac:dyDescent="0.3">
      <c r="B2" s="6" t="s">
        <v>347</v>
      </c>
      <c r="C2" s="5" t="s">
        <v>100</v>
      </c>
      <c r="G2" s="690" t="s">
        <v>328</v>
      </c>
      <c r="H2" s="691"/>
      <c r="I2" s="691"/>
      <c r="J2" s="691"/>
      <c r="K2" s="691"/>
      <c r="L2" s="691"/>
    </row>
    <row r="3" spans="2:12" ht="25.5" x14ac:dyDescent="0.2">
      <c r="B3" s="807">
        <v>0</v>
      </c>
      <c r="C3" s="808">
        <f>B4</f>
        <v>512000</v>
      </c>
      <c r="D3" s="809">
        <v>0</v>
      </c>
      <c r="E3" s="810">
        <v>0.125</v>
      </c>
      <c r="G3" s="692" t="s">
        <v>329</v>
      </c>
      <c r="H3" s="693" t="s">
        <v>330</v>
      </c>
      <c r="I3" s="694" t="s">
        <v>331</v>
      </c>
      <c r="J3" s="695"/>
      <c r="K3" s="696" t="s">
        <v>332</v>
      </c>
      <c r="L3" s="697" t="s">
        <v>333</v>
      </c>
    </row>
    <row r="4" spans="2:12" x14ac:dyDescent="0.2">
      <c r="B4" s="811">
        <v>512000</v>
      </c>
      <c r="C4" s="812">
        <v>1280000</v>
      </c>
      <c r="D4" s="812">
        <v>64000</v>
      </c>
      <c r="E4" s="813">
        <v>0.125</v>
      </c>
      <c r="G4" s="698" t="s">
        <v>334</v>
      </c>
      <c r="H4" s="699" t="s">
        <v>335</v>
      </c>
      <c r="I4" s="700">
        <v>0.05</v>
      </c>
      <c r="J4" s="701" t="s">
        <v>24</v>
      </c>
      <c r="K4" s="702">
        <v>1</v>
      </c>
      <c r="L4" s="703">
        <v>0.05</v>
      </c>
    </row>
    <row r="5" spans="2:12" x14ac:dyDescent="0.2">
      <c r="B5" s="811">
        <v>1280000</v>
      </c>
      <c r="C5" s="812">
        <v>6300000</v>
      </c>
      <c r="D5" s="812">
        <v>160000</v>
      </c>
      <c r="E5" s="813">
        <v>0.1</v>
      </c>
      <c r="G5" s="698" t="s">
        <v>336</v>
      </c>
      <c r="H5" s="699" t="s">
        <v>337</v>
      </c>
      <c r="I5" s="700">
        <f>IF('Input Data'!$F$32&lt;2,0,15%)</f>
        <v>0</v>
      </c>
      <c r="J5" s="701" t="s">
        <v>24</v>
      </c>
      <c r="K5" s="702">
        <f>IF('Input Data'!$F$32=2,'Input Data'!$D$33,1)</f>
        <v>1</v>
      </c>
      <c r="L5" s="703">
        <f>I5*K5+L4</f>
        <v>0.05</v>
      </c>
    </row>
    <row r="6" spans="2:12" ht="15.75" thickBot="1" x14ac:dyDescent="0.25">
      <c r="B6" s="811">
        <v>6300000</v>
      </c>
      <c r="C6" s="812">
        <v>12850000</v>
      </c>
      <c r="D6" s="812">
        <v>662000</v>
      </c>
      <c r="E6" s="813">
        <v>0.08</v>
      </c>
      <c r="G6" s="704" t="s">
        <v>338</v>
      </c>
      <c r="H6" s="705" t="s">
        <v>339</v>
      </c>
      <c r="I6" s="789">
        <f>IF('Input Data'!$F$32&lt;3,0,30%)</f>
        <v>0</v>
      </c>
      <c r="J6" s="790" t="s">
        <v>24</v>
      </c>
      <c r="K6" s="791">
        <f>IF('Input Data'!$F$32=3,'Input Data'!$D$33,1)</f>
        <v>1</v>
      </c>
      <c r="L6" s="792">
        <f>I6*K6+L5</f>
        <v>0.05</v>
      </c>
    </row>
    <row r="7" spans="2:12" x14ac:dyDescent="0.2">
      <c r="B7" s="811">
        <v>12850000</v>
      </c>
      <c r="C7" s="812">
        <v>32000000</v>
      </c>
      <c r="D7" s="812">
        <v>1186000</v>
      </c>
      <c r="E7" s="813">
        <v>7.0000000000000007E-2</v>
      </c>
      <c r="G7" s="706"/>
      <c r="H7" s="707"/>
      <c r="I7" s="708"/>
      <c r="J7" s="706"/>
      <c r="K7" s="709"/>
      <c r="L7" s="710"/>
    </row>
    <row r="8" spans="2:12" x14ac:dyDescent="0.2">
      <c r="B8" s="811">
        <v>32000000</v>
      </c>
      <c r="C8" s="812">
        <v>64000000</v>
      </c>
      <c r="D8" s="812">
        <v>2526500</v>
      </c>
      <c r="E8" s="813">
        <v>0.06</v>
      </c>
      <c r="H8" s="699" t="s">
        <v>335</v>
      </c>
      <c r="I8" s="788">
        <v>5</v>
      </c>
    </row>
    <row r="9" spans="2:12" x14ac:dyDescent="0.2">
      <c r="B9" s="811">
        <v>64000000</v>
      </c>
      <c r="C9" s="812">
        <v>385500000</v>
      </c>
      <c r="D9" s="812">
        <v>4446000</v>
      </c>
      <c r="E9" s="813">
        <v>5.5E-2</v>
      </c>
      <c r="H9" s="699" t="s">
        <v>337</v>
      </c>
      <c r="I9" s="788">
        <v>15</v>
      </c>
    </row>
    <row r="10" spans="2:12" ht="15.75" customHeight="1" thickBot="1" x14ac:dyDescent="0.25">
      <c r="B10" s="814">
        <v>385500000</v>
      </c>
      <c r="C10" s="815">
        <v>1000000000</v>
      </c>
      <c r="D10" s="815">
        <v>22129000</v>
      </c>
      <c r="E10" s="816">
        <v>5.5E-2</v>
      </c>
      <c r="H10" s="699" t="s">
        <v>339</v>
      </c>
      <c r="I10" s="788">
        <v>30</v>
      </c>
    </row>
    <row r="11" spans="2:12" ht="16.5" customHeight="1" x14ac:dyDescent="0.2">
      <c r="H11" s="785" t="s">
        <v>340</v>
      </c>
      <c r="I11" s="786">
        <v>40</v>
      </c>
    </row>
    <row r="12" spans="2:12" ht="15.75" customHeight="1" thickBot="1" x14ac:dyDescent="0.3">
      <c r="B12" s="6" t="s">
        <v>348</v>
      </c>
      <c r="C12" s="278" t="s">
        <v>355</v>
      </c>
      <c r="D12" s="277"/>
      <c r="E12" s="277"/>
      <c r="H12" s="787" t="s">
        <v>341</v>
      </c>
      <c r="I12" s="786">
        <v>10</v>
      </c>
    </row>
    <row r="13" spans="2:12" x14ac:dyDescent="0.2">
      <c r="B13" s="807">
        <v>0</v>
      </c>
      <c r="C13" s="808">
        <f>B14</f>
        <v>512000</v>
      </c>
      <c r="D13" s="817">
        <v>0</v>
      </c>
      <c r="E13" s="810">
        <v>0.15</v>
      </c>
    </row>
    <row r="14" spans="2:12" x14ac:dyDescent="0.2">
      <c r="B14" s="811">
        <v>512000</v>
      </c>
      <c r="C14" s="812">
        <v>1280000</v>
      </c>
      <c r="D14" s="812">
        <v>76800</v>
      </c>
      <c r="E14" s="813">
        <v>0.15</v>
      </c>
    </row>
    <row r="15" spans="2:12" x14ac:dyDescent="0.2">
      <c r="B15" s="811">
        <v>1280000</v>
      </c>
      <c r="C15" s="812">
        <v>6300000</v>
      </c>
      <c r="D15" s="812">
        <v>192000</v>
      </c>
      <c r="E15" s="813">
        <v>0.125</v>
      </c>
    </row>
    <row r="16" spans="2:12" x14ac:dyDescent="0.2">
      <c r="B16" s="811">
        <v>6300000</v>
      </c>
      <c r="C16" s="812">
        <v>12850000</v>
      </c>
      <c r="D16" s="812">
        <v>819500</v>
      </c>
      <c r="E16" s="813">
        <v>0.105</v>
      </c>
    </row>
    <row r="17" spans="2:5" x14ac:dyDescent="0.2">
      <c r="B17" s="811">
        <v>12850000</v>
      </c>
      <c r="C17" s="812">
        <v>32000000</v>
      </c>
      <c r="D17" s="812">
        <v>1507250</v>
      </c>
      <c r="E17" s="813">
        <v>9.5000000000000001E-2</v>
      </c>
    </row>
    <row r="18" spans="2:5" x14ac:dyDescent="0.2">
      <c r="B18" s="811">
        <v>32000000</v>
      </c>
      <c r="C18" s="812">
        <v>64000000</v>
      </c>
      <c r="D18" s="812">
        <v>3326500</v>
      </c>
      <c r="E18" s="813">
        <v>0.09</v>
      </c>
    </row>
    <row r="19" spans="2:5" x14ac:dyDescent="0.2">
      <c r="B19" s="811">
        <v>64000000</v>
      </c>
      <c r="C19" s="812">
        <v>385500000</v>
      </c>
      <c r="D19" s="812">
        <v>6206500</v>
      </c>
      <c r="E19" s="813">
        <v>8.5000000000000006E-2</v>
      </c>
    </row>
    <row r="20" spans="2:5" ht="15.75" thickBot="1" x14ac:dyDescent="0.25">
      <c r="B20" s="814">
        <v>385500000</v>
      </c>
      <c r="C20" s="815">
        <v>1000000000</v>
      </c>
      <c r="D20" s="815">
        <v>33534000</v>
      </c>
      <c r="E20" s="816">
        <v>8.5000000000000006E-2</v>
      </c>
    </row>
  </sheetData>
  <sheetProtection password="CD4C" sheet="1" objects="1" scenarios="1" formatColumns="0" formatRows="0"/>
  <phoneticPr fontId="54" type="noConversion"/>
  <pageMargins left="0.75" right="0.75" top="1" bottom="1" header="0.5" footer="0.5"/>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43"/>
  </sheetPr>
  <dimension ref="A1:M43"/>
  <sheetViews>
    <sheetView zoomScale="75" workbookViewId="0">
      <selection activeCell="H4" sqref="H4"/>
    </sheetView>
  </sheetViews>
  <sheetFormatPr defaultRowHeight="15" x14ac:dyDescent="0.2"/>
  <cols>
    <col min="1" max="2" width="9.21875" customWidth="1"/>
    <col min="3" max="3" width="13.5546875" customWidth="1"/>
    <col min="4" max="4" width="11.6640625" customWidth="1"/>
    <col min="5" max="5" width="10" customWidth="1"/>
    <col min="6" max="6" width="12.77734375" customWidth="1"/>
    <col min="7" max="7" width="3.21875" customWidth="1"/>
    <col min="8" max="8" width="9.44140625" customWidth="1"/>
    <col min="9" max="9" width="10.44140625" customWidth="1"/>
    <col min="10" max="10" width="13.6640625" customWidth="1"/>
    <col min="11" max="11" width="11.33203125" customWidth="1"/>
    <col min="12" max="12" width="10.21875" customWidth="1"/>
    <col min="13" max="13" width="13.21875" customWidth="1"/>
  </cols>
  <sheetData>
    <row r="1" spans="1:13" ht="18.75" thickTop="1" x14ac:dyDescent="0.2">
      <c r="A1" s="1442" t="s">
        <v>628</v>
      </c>
      <c r="B1" s="233"/>
      <c r="C1" s="215"/>
      <c r="D1" s="215"/>
      <c r="E1" s="216" t="s">
        <v>161</v>
      </c>
      <c r="F1" s="215"/>
      <c r="G1" s="215"/>
      <c r="H1" s="215"/>
      <c r="I1" s="215"/>
      <c r="J1" s="215"/>
      <c r="K1" s="215"/>
      <c r="L1" s="215"/>
      <c r="M1" s="217"/>
    </row>
    <row r="2" spans="1:13" x14ac:dyDescent="0.2">
      <c r="A2" s="1875" t="s">
        <v>155</v>
      </c>
      <c r="B2" s="1876"/>
      <c r="C2" s="1876"/>
      <c r="D2" s="1443">
        <f>'Input Data'!D29</f>
        <v>0</v>
      </c>
      <c r="E2" s="218" t="s">
        <v>210</v>
      </c>
      <c r="F2" s="1444">
        <f>'Input Data'!D7</f>
        <v>0</v>
      </c>
      <c r="G2" s="185"/>
      <c r="H2" s="1876" t="s">
        <v>94</v>
      </c>
      <c r="I2" s="1876"/>
      <c r="J2" s="1877"/>
      <c r="K2" s="129" t="str">
        <f>IF('Input Data'!D18="none","N","Y")</f>
        <v>Y</v>
      </c>
      <c r="L2" s="60"/>
      <c r="M2" s="27"/>
    </row>
    <row r="3" spans="1:13" ht="15.75" thickBot="1" x14ac:dyDescent="0.25">
      <c r="A3" s="219"/>
      <c r="B3" s="220"/>
      <c r="C3" s="60"/>
      <c r="D3" s="60"/>
      <c r="E3" s="60"/>
      <c r="F3" s="60"/>
      <c r="G3" s="60"/>
      <c r="H3" s="220"/>
      <c r="I3" s="220"/>
      <c r="J3" s="221"/>
      <c r="K3" s="60"/>
      <c r="L3" s="60"/>
      <c r="M3" s="222"/>
    </row>
    <row r="4" spans="1:13" ht="65.25" thickTop="1" thickBot="1" x14ac:dyDescent="0.25">
      <c r="A4" s="223" t="s">
        <v>629</v>
      </c>
      <c r="B4" s="234" t="s">
        <v>8</v>
      </c>
      <c r="C4" s="611" t="s">
        <v>314</v>
      </c>
      <c r="D4" s="611" t="s">
        <v>315</v>
      </c>
      <c r="E4" s="224" t="s">
        <v>316</v>
      </c>
      <c r="F4" s="612" t="s">
        <v>317</v>
      </c>
      <c r="G4" s="36"/>
      <c r="H4" s="223" t="s">
        <v>629</v>
      </c>
      <c r="I4" s="234" t="s">
        <v>8</v>
      </c>
      <c r="J4" s="611" t="s">
        <v>314</v>
      </c>
      <c r="K4" s="611" t="s">
        <v>315</v>
      </c>
      <c r="L4" s="224" t="s">
        <v>316</v>
      </c>
      <c r="M4" s="612" t="s">
        <v>317</v>
      </c>
    </row>
    <row r="5" spans="1:13" ht="27" thickTop="1" thickBot="1" x14ac:dyDescent="0.25">
      <c r="A5" s="225" t="s">
        <v>156</v>
      </c>
      <c r="B5" s="237"/>
      <c r="C5" s="643"/>
      <c r="D5" s="644">
        <f>IF($K$2="Y",((C5-E5)/1.14),C5)</f>
        <v>0</v>
      </c>
      <c r="E5" s="643"/>
      <c r="F5" s="645">
        <f>SUM(D5:E5)</f>
        <v>0</v>
      </c>
      <c r="G5" s="62"/>
      <c r="H5" s="226" t="s">
        <v>157</v>
      </c>
      <c r="I5" s="236"/>
      <c r="J5" s="650">
        <f>C42</f>
        <v>0</v>
      </c>
      <c r="K5" s="651">
        <f>D42</f>
        <v>0</v>
      </c>
      <c r="L5" s="650">
        <f>E42</f>
        <v>0</v>
      </c>
      <c r="M5" s="652">
        <f>SUM(K5:L5)</f>
        <v>0</v>
      </c>
    </row>
    <row r="6" spans="1:13" x14ac:dyDescent="0.2">
      <c r="A6" s="227">
        <f t="shared" ref="A6:A41" si="0">A5+1</f>
        <v>2</v>
      </c>
      <c r="B6" s="238"/>
      <c r="C6" s="643">
        <v>0</v>
      </c>
      <c r="D6" s="644">
        <f t="shared" ref="D6:D41" si="1">IF($K$2="Y",((C6-E6)/1.14),C6)</f>
        <v>0</v>
      </c>
      <c r="E6" s="643">
        <v>0</v>
      </c>
      <c r="F6" s="645">
        <f t="shared" ref="F6:F41" si="2">SUM(D6:E6)</f>
        <v>0</v>
      </c>
      <c r="G6" s="62"/>
      <c r="H6" s="228" t="s">
        <v>158</v>
      </c>
      <c r="I6" s="237"/>
      <c r="J6" s="648">
        <v>0</v>
      </c>
      <c r="K6" s="644">
        <f t="shared" ref="K6:K41" si="3">IF($K$2="Y",((J6-L6)/1.14),J6)</f>
        <v>0</v>
      </c>
      <c r="L6" s="648">
        <v>0</v>
      </c>
      <c r="M6" s="649">
        <f t="shared" ref="M6:M41" si="4">SUM(K6:L6)</f>
        <v>0</v>
      </c>
    </row>
    <row r="7" spans="1:13" x14ac:dyDescent="0.2">
      <c r="A7" s="227">
        <f t="shared" si="0"/>
        <v>3</v>
      </c>
      <c r="B7" s="238"/>
      <c r="C7" s="643">
        <v>0</v>
      </c>
      <c r="D7" s="644">
        <f t="shared" si="1"/>
        <v>0</v>
      </c>
      <c r="E7" s="643">
        <v>0</v>
      </c>
      <c r="F7" s="645">
        <f t="shared" si="2"/>
        <v>0</v>
      </c>
      <c r="G7" s="62"/>
      <c r="H7" s="227">
        <f t="shared" ref="H7:H41" si="5">H6+1</f>
        <v>39</v>
      </c>
      <c r="I7" s="238"/>
      <c r="J7" s="643">
        <v>0</v>
      </c>
      <c r="K7" s="644">
        <f t="shared" si="3"/>
        <v>0</v>
      </c>
      <c r="L7" s="643">
        <v>0</v>
      </c>
      <c r="M7" s="645">
        <f t="shared" si="4"/>
        <v>0</v>
      </c>
    </row>
    <row r="8" spans="1:13" x14ac:dyDescent="0.2">
      <c r="A8" s="227">
        <f t="shared" si="0"/>
        <v>4</v>
      </c>
      <c r="B8" s="238"/>
      <c r="C8" s="643">
        <v>0</v>
      </c>
      <c r="D8" s="644">
        <f t="shared" si="1"/>
        <v>0</v>
      </c>
      <c r="E8" s="643">
        <v>0</v>
      </c>
      <c r="F8" s="645">
        <f t="shared" si="2"/>
        <v>0</v>
      </c>
      <c r="G8" s="62"/>
      <c r="H8" s="227">
        <f t="shared" si="5"/>
        <v>40</v>
      </c>
      <c r="I8" s="238"/>
      <c r="J8" s="643">
        <v>0</v>
      </c>
      <c r="K8" s="644">
        <f t="shared" si="3"/>
        <v>0</v>
      </c>
      <c r="L8" s="643">
        <v>0</v>
      </c>
      <c r="M8" s="645">
        <f t="shared" si="4"/>
        <v>0</v>
      </c>
    </row>
    <row r="9" spans="1:13" x14ac:dyDescent="0.2">
      <c r="A9" s="227">
        <f t="shared" si="0"/>
        <v>5</v>
      </c>
      <c r="B9" s="238"/>
      <c r="C9" s="643">
        <v>0</v>
      </c>
      <c r="D9" s="644">
        <f t="shared" si="1"/>
        <v>0</v>
      </c>
      <c r="E9" s="643">
        <v>0</v>
      </c>
      <c r="F9" s="645">
        <f t="shared" si="2"/>
        <v>0</v>
      </c>
      <c r="G9" s="62"/>
      <c r="H9" s="227">
        <f t="shared" si="5"/>
        <v>41</v>
      </c>
      <c r="I9" s="238"/>
      <c r="J9" s="643">
        <v>0</v>
      </c>
      <c r="K9" s="644">
        <f t="shared" si="3"/>
        <v>0</v>
      </c>
      <c r="L9" s="643">
        <v>0</v>
      </c>
      <c r="M9" s="645">
        <f t="shared" si="4"/>
        <v>0</v>
      </c>
    </row>
    <row r="10" spans="1:13" x14ac:dyDescent="0.2">
      <c r="A10" s="227">
        <f t="shared" si="0"/>
        <v>6</v>
      </c>
      <c r="B10" s="238"/>
      <c r="C10" s="643">
        <v>0</v>
      </c>
      <c r="D10" s="644">
        <f t="shared" si="1"/>
        <v>0</v>
      </c>
      <c r="E10" s="643">
        <v>0</v>
      </c>
      <c r="F10" s="645">
        <f t="shared" si="2"/>
        <v>0</v>
      </c>
      <c r="G10" s="62"/>
      <c r="H10" s="227">
        <f t="shared" si="5"/>
        <v>42</v>
      </c>
      <c r="I10" s="238"/>
      <c r="J10" s="643">
        <v>0</v>
      </c>
      <c r="K10" s="644">
        <f t="shared" si="3"/>
        <v>0</v>
      </c>
      <c r="L10" s="643">
        <v>0</v>
      </c>
      <c r="M10" s="645">
        <f t="shared" si="4"/>
        <v>0</v>
      </c>
    </row>
    <row r="11" spans="1:13" x14ac:dyDescent="0.2">
      <c r="A11" s="227">
        <f t="shared" si="0"/>
        <v>7</v>
      </c>
      <c r="B11" s="238"/>
      <c r="C11" s="643">
        <v>0</v>
      </c>
      <c r="D11" s="644">
        <f t="shared" si="1"/>
        <v>0</v>
      </c>
      <c r="E11" s="643">
        <v>0</v>
      </c>
      <c r="F11" s="645">
        <f t="shared" si="2"/>
        <v>0</v>
      </c>
      <c r="G11" s="62"/>
      <c r="H11" s="227">
        <f t="shared" si="5"/>
        <v>43</v>
      </c>
      <c r="I11" s="238"/>
      <c r="J11" s="643">
        <v>0</v>
      </c>
      <c r="K11" s="644">
        <f t="shared" si="3"/>
        <v>0</v>
      </c>
      <c r="L11" s="643">
        <v>0</v>
      </c>
      <c r="M11" s="645">
        <f t="shared" si="4"/>
        <v>0</v>
      </c>
    </row>
    <row r="12" spans="1:13" x14ac:dyDescent="0.2">
      <c r="A12" s="227">
        <f t="shared" si="0"/>
        <v>8</v>
      </c>
      <c r="B12" s="238"/>
      <c r="C12" s="643">
        <v>0</v>
      </c>
      <c r="D12" s="644">
        <f t="shared" si="1"/>
        <v>0</v>
      </c>
      <c r="E12" s="643">
        <v>0</v>
      </c>
      <c r="F12" s="645">
        <f t="shared" si="2"/>
        <v>0</v>
      </c>
      <c r="G12" s="62"/>
      <c r="H12" s="227">
        <f t="shared" si="5"/>
        <v>44</v>
      </c>
      <c r="I12" s="238"/>
      <c r="J12" s="643">
        <v>0</v>
      </c>
      <c r="K12" s="644">
        <f t="shared" si="3"/>
        <v>0</v>
      </c>
      <c r="L12" s="643">
        <v>0</v>
      </c>
      <c r="M12" s="645">
        <f t="shared" si="4"/>
        <v>0</v>
      </c>
    </row>
    <row r="13" spans="1:13" x14ac:dyDescent="0.2">
      <c r="A13" s="227">
        <f t="shared" si="0"/>
        <v>9</v>
      </c>
      <c r="B13" s="238"/>
      <c r="C13" s="643">
        <v>0</v>
      </c>
      <c r="D13" s="644">
        <f t="shared" si="1"/>
        <v>0</v>
      </c>
      <c r="E13" s="643">
        <v>0</v>
      </c>
      <c r="F13" s="645">
        <f t="shared" si="2"/>
        <v>0</v>
      </c>
      <c r="G13" s="62"/>
      <c r="H13" s="227">
        <f t="shared" si="5"/>
        <v>45</v>
      </c>
      <c r="I13" s="238"/>
      <c r="J13" s="643">
        <v>0</v>
      </c>
      <c r="K13" s="644">
        <f t="shared" si="3"/>
        <v>0</v>
      </c>
      <c r="L13" s="643">
        <v>0</v>
      </c>
      <c r="M13" s="645">
        <f t="shared" si="4"/>
        <v>0</v>
      </c>
    </row>
    <row r="14" spans="1:13" x14ac:dyDescent="0.2">
      <c r="A14" s="227">
        <f t="shared" si="0"/>
        <v>10</v>
      </c>
      <c r="B14" s="238"/>
      <c r="C14" s="643">
        <v>0</v>
      </c>
      <c r="D14" s="644">
        <f t="shared" si="1"/>
        <v>0</v>
      </c>
      <c r="E14" s="643">
        <v>0</v>
      </c>
      <c r="F14" s="645">
        <f t="shared" si="2"/>
        <v>0</v>
      </c>
      <c r="G14" s="62"/>
      <c r="H14" s="227">
        <f t="shared" si="5"/>
        <v>46</v>
      </c>
      <c r="I14" s="238"/>
      <c r="J14" s="643">
        <v>0</v>
      </c>
      <c r="K14" s="644">
        <f t="shared" si="3"/>
        <v>0</v>
      </c>
      <c r="L14" s="643">
        <v>0</v>
      </c>
      <c r="M14" s="645">
        <f t="shared" si="4"/>
        <v>0</v>
      </c>
    </row>
    <row r="15" spans="1:13" x14ac:dyDescent="0.2">
      <c r="A15" s="227">
        <f t="shared" si="0"/>
        <v>11</v>
      </c>
      <c r="B15" s="238"/>
      <c r="C15" s="643">
        <v>0</v>
      </c>
      <c r="D15" s="644">
        <f t="shared" si="1"/>
        <v>0</v>
      </c>
      <c r="E15" s="643">
        <v>0</v>
      </c>
      <c r="F15" s="645">
        <f t="shared" si="2"/>
        <v>0</v>
      </c>
      <c r="G15" s="62"/>
      <c r="H15" s="227">
        <f t="shared" si="5"/>
        <v>47</v>
      </c>
      <c r="I15" s="238"/>
      <c r="J15" s="643">
        <v>0</v>
      </c>
      <c r="K15" s="644">
        <f t="shared" si="3"/>
        <v>0</v>
      </c>
      <c r="L15" s="643">
        <v>0</v>
      </c>
      <c r="M15" s="645">
        <f t="shared" si="4"/>
        <v>0</v>
      </c>
    </row>
    <row r="16" spans="1:13" x14ac:dyDescent="0.2">
      <c r="A16" s="227">
        <f t="shared" si="0"/>
        <v>12</v>
      </c>
      <c r="B16" s="238"/>
      <c r="C16" s="643">
        <v>0</v>
      </c>
      <c r="D16" s="644">
        <f t="shared" si="1"/>
        <v>0</v>
      </c>
      <c r="E16" s="643">
        <v>0</v>
      </c>
      <c r="F16" s="645">
        <f t="shared" si="2"/>
        <v>0</v>
      </c>
      <c r="G16" s="62"/>
      <c r="H16" s="227">
        <f t="shared" si="5"/>
        <v>48</v>
      </c>
      <c r="I16" s="238"/>
      <c r="J16" s="643">
        <v>0</v>
      </c>
      <c r="K16" s="644">
        <f t="shared" si="3"/>
        <v>0</v>
      </c>
      <c r="L16" s="643">
        <v>0</v>
      </c>
      <c r="M16" s="645">
        <f t="shared" si="4"/>
        <v>0</v>
      </c>
    </row>
    <row r="17" spans="1:13" x14ac:dyDescent="0.2">
      <c r="A17" s="227">
        <f t="shared" si="0"/>
        <v>13</v>
      </c>
      <c r="B17" s="238"/>
      <c r="C17" s="643">
        <v>0</v>
      </c>
      <c r="D17" s="644">
        <f t="shared" si="1"/>
        <v>0</v>
      </c>
      <c r="E17" s="643">
        <v>0</v>
      </c>
      <c r="F17" s="645">
        <f t="shared" si="2"/>
        <v>0</v>
      </c>
      <c r="G17" s="62"/>
      <c r="H17" s="227">
        <f t="shared" si="5"/>
        <v>49</v>
      </c>
      <c r="I17" s="238"/>
      <c r="J17" s="643">
        <v>0</v>
      </c>
      <c r="K17" s="644">
        <f t="shared" si="3"/>
        <v>0</v>
      </c>
      <c r="L17" s="643">
        <v>0</v>
      </c>
      <c r="M17" s="645">
        <f t="shared" si="4"/>
        <v>0</v>
      </c>
    </row>
    <row r="18" spans="1:13" x14ac:dyDescent="0.2">
      <c r="A18" s="227">
        <f t="shared" si="0"/>
        <v>14</v>
      </c>
      <c r="B18" s="238"/>
      <c r="C18" s="643">
        <v>0</v>
      </c>
      <c r="D18" s="644">
        <f t="shared" si="1"/>
        <v>0</v>
      </c>
      <c r="E18" s="643">
        <v>0</v>
      </c>
      <c r="F18" s="645">
        <f t="shared" si="2"/>
        <v>0</v>
      </c>
      <c r="G18" s="62"/>
      <c r="H18" s="227">
        <f t="shared" si="5"/>
        <v>50</v>
      </c>
      <c r="I18" s="238"/>
      <c r="J18" s="643">
        <v>0</v>
      </c>
      <c r="K18" s="644">
        <f t="shared" si="3"/>
        <v>0</v>
      </c>
      <c r="L18" s="643">
        <v>0</v>
      </c>
      <c r="M18" s="645">
        <f t="shared" si="4"/>
        <v>0</v>
      </c>
    </row>
    <row r="19" spans="1:13" x14ac:dyDescent="0.2">
      <c r="A19" s="227">
        <f t="shared" si="0"/>
        <v>15</v>
      </c>
      <c r="B19" s="238"/>
      <c r="C19" s="643">
        <v>0</v>
      </c>
      <c r="D19" s="644">
        <f t="shared" si="1"/>
        <v>0</v>
      </c>
      <c r="E19" s="643">
        <v>0</v>
      </c>
      <c r="F19" s="645">
        <f t="shared" si="2"/>
        <v>0</v>
      </c>
      <c r="G19" s="62"/>
      <c r="H19" s="227">
        <f t="shared" si="5"/>
        <v>51</v>
      </c>
      <c r="I19" s="238"/>
      <c r="J19" s="643">
        <v>0</v>
      </c>
      <c r="K19" s="644">
        <f t="shared" si="3"/>
        <v>0</v>
      </c>
      <c r="L19" s="643">
        <v>0</v>
      </c>
      <c r="M19" s="645">
        <f t="shared" si="4"/>
        <v>0</v>
      </c>
    </row>
    <row r="20" spans="1:13" x14ac:dyDescent="0.2">
      <c r="A20" s="227">
        <f t="shared" si="0"/>
        <v>16</v>
      </c>
      <c r="B20" s="238"/>
      <c r="C20" s="643">
        <v>0</v>
      </c>
      <c r="D20" s="644">
        <f t="shared" si="1"/>
        <v>0</v>
      </c>
      <c r="E20" s="643">
        <v>0</v>
      </c>
      <c r="F20" s="645">
        <f t="shared" si="2"/>
        <v>0</v>
      </c>
      <c r="G20" s="62"/>
      <c r="H20" s="227">
        <f t="shared" si="5"/>
        <v>52</v>
      </c>
      <c r="I20" s="238"/>
      <c r="J20" s="643">
        <v>0</v>
      </c>
      <c r="K20" s="644">
        <f t="shared" si="3"/>
        <v>0</v>
      </c>
      <c r="L20" s="643">
        <v>0</v>
      </c>
      <c r="M20" s="645">
        <f t="shared" si="4"/>
        <v>0</v>
      </c>
    </row>
    <row r="21" spans="1:13" x14ac:dyDescent="0.2">
      <c r="A21" s="227">
        <f t="shared" si="0"/>
        <v>17</v>
      </c>
      <c r="B21" s="238"/>
      <c r="C21" s="643">
        <v>0</v>
      </c>
      <c r="D21" s="644">
        <f t="shared" si="1"/>
        <v>0</v>
      </c>
      <c r="E21" s="643">
        <v>0</v>
      </c>
      <c r="F21" s="645">
        <f t="shared" si="2"/>
        <v>0</v>
      </c>
      <c r="G21" s="229"/>
      <c r="H21" s="227">
        <f t="shared" si="5"/>
        <v>53</v>
      </c>
      <c r="I21" s="238"/>
      <c r="J21" s="643">
        <v>0</v>
      </c>
      <c r="K21" s="644">
        <f t="shared" si="3"/>
        <v>0</v>
      </c>
      <c r="L21" s="643">
        <v>0</v>
      </c>
      <c r="M21" s="645">
        <f t="shared" si="4"/>
        <v>0</v>
      </c>
    </row>
    <row r="22" spans="1:13" ht="27" customHeight="1" x14ac:dyDescent="0.2">
      <c r="A22" s="227">
        <f t="shared" si="0"/>
        <v>18</v>
      </c>
      <c r="B22" s="238"/>
      <c r="C22" s="643">
        <v>0</v>
      </c>
      <c r="D22" s="644">
        <f t="shared" si="1"/>
        <v>0</v>
      </c>
      <c r="E22" s="643">
        <v>0</v>
      </c>
      <c r="F22" s="645">
        <f t="shared" si="2"/>
        <v>0</v>
      </c>
      <c r="G22" s="229"/>
      <c r="H22" s="227">
        <f t="shared" si="5"/>
        <v>54</v>
      </c>
      <c r="I22" s="238"/>
      <c r="J22" s="643">
        <v>0</v>
      </c>
      <c r="K22" s="644">
        <f t="shared" si="3"/>
        <v>0</v>
      </c>
      <c r="L22" s="643">
        <v>0</v>
      </c>
      <c r="M22" s="645">
        <f t="shared" si="4"/>
        <v>0</v>
      </c>
    </row>
    <row r="23" spans="1:13" x14ac:dyDescent="0.2">
      <c r="A23" s="227">
        <f t="shared" si="0"/>
        <v>19</v>
      </c>
      <c r="B23" s="238"/>
      <c r="C23" s="643">
        <v>0</v>
      </c>
      <c r="D23" s="644">
        <f t="shared" si="1"/>
        <v>0</v>
      </c>
      <c r="E23" s="643">
        <v>0</v>
      </c>
      <c r="F23" s="645">
        <f t="shared" si="2"/>
        <v>0</v>
      </c>
      <c r="G23" s="229"/>
      <c r="H23" s="227">
        <f t="shared" si="5"/>
        <v>55</v>
      </c>
      <c r="I23" s="238"/>
      <c r="J23" s="643">
        <v>0</v>
      </c>
      <c r="K23" s="644">
        <f t="shared" si="3"/>
        <v>0</v>
      </c>
      <c r="L23" s="643">
        <v>0</v>
      </c>
      <c r="M23" s="645">
        <f t="shared" si="4"/>
        <v>0</v>
      </c>
    </row>
    <row r="24" spans="1:13" x14ac:dyDescent="0.2">
      <c r="A24" s="227">
        <f t="shared" si="0"/>
        <v>20</v>
      </c>
      <c r="B24" s="238"/>
      <c r="C24" s="643">
        <v>0</v>
      </c>
      <c r="D24" s="644">
        <f t="shared" si="1"/>
        <v>0</v>
      </c>
      <c r="E24" s="643">
        <v>0</v>
      </c>
      <c r="F24" s="645">
        <f t="shared" si="2"/>
        <v>0</v>
      </c>
      <c r="G24" s="62"/>
      <c r="H24" s="227">
        <f t="shared" si="5"/>
        <v>56</v>
      </c>
      <c r="I24" s="238"/>
      <c r="J24" s="643">
        <v>0</v>
      </c>
      <c r="K24" s="644">
        <f t="shared" si="3"/>
        <v>0</v>
      </c>
      <c r="L24" s="643">
        <v>0</v>
      </c>
      <c r="M24" s="645">
        <f t="shared" si="4"/>
        <v>0</v>
      </c>
    </row>
    <row r="25" spans="1:13" x14ac:dyDescent="0.2">
      <c r="A25" s="227">
        <f t="shared" si="0"/>
        <v>21</v>
      </c>
      <c r="B25" s="238"/>
      <c r="C25" s="643">
        <v>0</v>
      </c>
      <c r="D25" s="644">
        <f t="shared" si="1"/>
        <v>0</v>
      </c>
      <c r="E25" s="643">
        <v>0</v>
      </c>
      <c r="F25" s="645">
        <f t="shared" si="2"/>
        <v>0</v>
      </c>
      <c r="G25" s="62"/>
      <c r="H25" s="227">
        <f t="shared" si="5"/>
        <v>57</v>
      </c>
      <c r="I25" s="238"/>
      <c r="J25" s="643">
        <v>0</v>
      </c>
      <c r="K25" s="644">
        <f t="shared" si="3"/>
        <v>0</v>
      </c>
      <c r="L25" s="643">
        <v>0</v>
      </c>
      <c r="M25" s="645">
        <f t="shared" si="4"/>
        <v>0</v>
      </c>
    </row>
    <row r="26" spans="1:13" x14ac:dyDescent="0.2">
      <c r="A26" s="227">
        <f t="shared" si="0"/>
        <v>22</v>
      </c>
      <c r="B26" s="238"/>
      <c r="C26" s="643">
        <v>0</v>
      </c>
      <c r="D26" s="644">
        <f t="shared" si="1"/>
        <v>0</v>
      </c>
      <c r="E26" s="643">
        <v>0</v>
      </c>
      <c r="F26" s="645">
        <f t="shared" si="2"/>
        <v>0</v>
      </c>
      <c r="G26" s="62"/>
      <c r="H26" s="227">
        <f t="shared" si="5"/>
        <v>58</v>
      </c>
      <c r="I26" s="238"/>
      <c r="J26" s="643">
        <v>0</v>
      </c>
      <c r="K26" s="644">
        <f t="shared" si="3"/>
        <v>0</v>
      </c>
      <c r="L26" s="643">
        <v>0</v>
      </c>
      <c r="M26" s="645">
        <f t="shared" si="4"/>
        <v>0</v>
      </c>
    </row>
    <row r="27" spans="1:13" x14ac:dyDescent="0.2">
      <c r="A27" s="227">
        <f t="shared" si="0"/>
        <v>23</v>
      </c>
      <c r="B27" s="238"/>
      <c r="C27" s="643">
        <v>0</v>
      </c>
      <c r="D27" s="644">
        <f t="shared" si="1"/>
        <v>0</v>
      </c>
      <c r="E27" s="643">
        <v>0</v>
      </c>
      <c r="F27" s="645">
        <f t="shared" si="2"/>
        <v>0</v>
      </c>
      <c r="G27" s="62"/>
      <c r="H27" s="227">
        <f t="shared" si="5"/>
        <v>59</v>
      </c>
      <c r="I27" s="238"/>
      <c r="J27" s="643">
        <v>0</v>
      </c>
      <c r="K27" s="644">
        <f t="shared" si="3"/>
        <v>0</v>
      </c>
      <c r="L27" s="643">
        <v>0</v>
      </c>
      <c r="M27" s="645">
        <f t="shared" si="4"/>
        <v>0</v>
      </c>
    </row>
    <row r="28" spans="1:13" x14ac:dyDescent="0.2">
      <c r="A28" s="227">
        <f t="shared" si="0"/>
        <v>24</v>
      </c>
      <c r="B28" s="238"/>
      <c r="C28" s="643">
        <v>0</v>
      </c>
      <c r="D28" s="644">
        <f t="shared" si="1"/>
        <v>0</v>
      </c>
      <c r="E28" s="643">
        <v>0</v>
      </c>
      <c r="F28" s="645">
        <f t="shared" si="2"/>
        <v>0</v>
      </c>
      <c r="G28" s="62"/>
      <c r="H28" s="227">
        <f t="shared" si="5"/>
        <v>60</v>
      </c>
      <c r="I28" s="238"/>
      <c r="J28" s="643">
        <v>0</v>
      </c>
      <c r="K28" s="644">
        <f t="shared" si="3"/>
        <v>0</v>
      </c>
      <c r="L28" s="643">
        <v>0</v>
      </c>
      <c r="M28" s="645">
        <f t="shared" si="4"/>
        <v>0</v>
      </c>
    </row>
    <row r="29" spans="1:13" x14ac:dyDescent="0.2">
      <c r="A29" s="227">
        <f t="shared" si="0"/>
        <v>25</v>
      </c>
      <c r="B29" s="238"/>
      <c r="C29" s="643">
        <v>0</v>
      </c>
      <c r="D29" s="644">
        <f t="shared" si="1"/>
        <v>0</v>
      </c>
      <c r="E29" s="643">
        <v>0</v>
      </c>
      <c r="F29" s="645">
        <f t="shared" si="2"/>
        <v>0</v>
      </c>
      <c r="G29" s="62"/>
      <c r="H29" s="227">
        <f t="shared" si="5"/>
        <v>61</v>
      </c>
      <c r="I29" s="238"/>
      <c r="J29" s="643">
        <v>0</v>
      </c>
      <c r="K29" s="644">
        <f t="shared" si="3"/>
        <v>0</v>
      </c>
      <c r="L29" s="643">
        <v>0</v>
      </c>
      <c r="M29" s="645">
        <f t="shared" si="4"/>
        <v>0</v>
      </c>
    </row>
    <row r="30" spans="1:13" x14ac:dyDescent="0.2">
      <c r="A30" s="227">
        <f t="shared" si="0"/>
        <v>26</v>
      </c>
      <c r="B30" s="238"/>
      <c r="C30" s="643">
        <v>0</v>
      </c>
      <c r="D30" s="644">
        <f t="shared" si="1"/>
        <v>0</v>
      </c>
      <c r="E30" s="643">
        <v>0</v>
      </c>
      <c r="F30" s="645">
        <f t="shared" si="2"/>
        <v>0</v>
      </c>
      <c r="G30" s="62"/>
      <c r="H30" s="227">
        <f t="shared" si="5"/>
        <v>62</v>
      </c>
      <c r="I30" s="238"/>
      <c r="J30" s="643">
        <v>0</v>
      </c>
      <c r="K30" s="644">
        <f t="shared" si="3"/>
        <v>0</v>
      </c>
      <c r="L30" s="643">
        <v>0</v>
      </c>
      <c r="M30" s="645">
        <f t="shared" si="4"/>
        <v>0</v>
      </c>
    </row>
    <row r="31" spans="1:13" x14ac:dyDescent="0.2">
      <c r="A31" s="227">
        <f t="shared" si="0"/>
        <v>27</v>
      </c>
      <c r="B31" s="238"/>
      <c r="C31" s="643">
        <v>0</v>
      </c>
      <c r="D31" s="644">
        <f t="shared" si="1"/>
        <v>0</v>
      </c>
      <c r="E31" s="643">
        <v>0</v>
      </c>
      <c r="F31" s="645">
        <f t="shared" si="2"/>
        <v>0</v>
      </c>
      <c r="G31" s="62"/>
      <c r="H31" s="227">
        <f t="shared" si="5"/>
        <v>63</v>
      </c>
      <c r="I31" s="238"/>
      <c r="J31" s="643">
        <v>0</v>
      </c>
      <c r="K31" s="644">
        <f t="shared" si="3"/>
        <v>0</v>
      </c>
      <c r="L31" s="643">
        <v>0</v>
      </c>
      <c r="M31" s="645">
        <f t="shared" si="4"/>
        <v>0</v>
      </c>
    </row>
    <row r="32" spans="1:13" x14ac:dyDescent="0.2">
      <c r="A32" s="227">
        <f t="shared" si="0"/>
        <v>28</v>
      </c>
      <c r="B32" s="238"/>
      <c r="C32" s="643">
        <v>0</v>
      </c>
      <c r="D32" s="644">
        <f t="shared" si="1"/>
        <v>0</v>
      </c>
      <c r="E32" s="643">
        <v>0</v>
      </c>
      <c r="F32" s="645">
        <f t="shared" si="2"/>
        <v>0</v>
      </c>
      <c r="G32" s="62"/>
      <c r="H32" s="227">
        <f t="shared" si="5"/>
        <v>64</v>
      </c>
      <c r="I32" s="238"/>
      <c r="J32" s="643">
        <v>0</v>
      </c>
      <c r="K32" s="644">
        <f t="shared" si="3"/>
        <v>0</v>
      </c>
      <c r="L32" s="643">
        <v>0</v>
      </c>
      <c r="M32" s="645">
        <f t="shared" si="4"/>
        <v>0</v>
      </c>
    </row>
    <row r="33" spans="1:13" x14ac:dyDescent="0.2">
      <c r="A33" s="227">
        <f t="shared" si="0"/>
        <v>29</v>
      </c>
      <c r="B33" s="238"/>
      <c r="C33" s="643">
        <v>0</v>
      </c>
      <c r="D33" s="644">
        <f t="shared" si="1"/>
        <v>0</v>
      </c>
      <c r="E33" s="643">
        <v>0</v>
      </c>
      <c r="F33" s="645">
        <f t="shared" si="2"/>
        <v>0</v>
      </c>
      <c r="G33" s="62"/>
      <c r="H33" s="227">
        <f t="shared" si="5"/>
        <v>65</v>
      </c>
      <c r="I33" s="238"/>
      <c r="J33" s="643">
        <v>0</v>
      </c>
      <c r="K33" s="644">
        <f t="shared" si="3"/>
        <v>0</v>
      </c>
      <c r="L33" s="643">
        <v>0</v>
      </c>
      <c r="M33" s="645">
        <f t="shared" si="4"/>
        <v>0</v>
      </c>
    </row>
    <row r="34" spans="1:13" x14ac:dyDescent="0.2">
      <c r="A34" s="227">
        <f t="shared" si="0"/>
        <v>30</v>
      </c>
      <c r="B34" s="238"/>
      <c r="C34" s="643">
        <v>0</v>
      </c>
      <c r="D34" s="644">
        <f t="shared" si="1"/>
        <v>0</v>
      </c>
      <c r="E34" s="643">
        <v>0</v>
      </c>
      <c r="F34" s="645">
        <f t="shared" si="2"/>
        <v>0</v>
      </c>
      <c r="G34" s="62"/>
      <c r="H34" s="227">
        <f t="shared" si="5"/>
        <v>66</v>
      </c>
      <c r="I34" s="238"/>
      <c r="J34" s="643">
        <v>0</v>
      </c>
      <c r="K34" s="644">
        <f t="shared" si="3"/>
        <v>0</v>
      </c>
      <c r="L34" s="643">
        <v>0</v>
      </c>
      <c r="M34" s="645">
        <f t="shared" si="4"/>
        <v>0</v>
      </c>
    </row>
    <row r="35" spans="1:13" x14ac:dyDescent="0.2">
      <c r="A35" s="227">
        <f t="shared" si="0"/>
        <v>31</v>
      </c>
      <c r="B35" s="238"/>
      <c r="C35" s="643">
        <v>0</v>
      </c>
      <c r="D35" s="644">
        <f t="shared" si="1"/>
        <v>0</v>
      </c>
      <c r="E35" s="643">
        <v>0</v>
      </c>
      <c r="F35" s="645">
        <f t="shared" si="2"/>
        <v>0</v>
      </c>
      <c r="G35" s="62"/>
      <c r="H35" s="227">
        <f t="shared" si="5"/>
        <v>67</v>
      </c>
      <c r="I35" s="238"/>
      <c r="J35" s="643">
        <v>0</v>
      </c>
      <c r="K35" s="644">
        <f t="shared" si="3"/>
        <v>0</v>
      </c>
      <c r="L35" s="643">
        <v>0</v>
      </c>
      <c r="M35" s="645">
        <f t="shared" si="4"/>
        <v>0</v>
      </c>
    </row>
    <row r="36" spans="1:13" x14ac:dyDescent="0.2">
      <c r="A36" s="227">
        <f t="shared" si="0"/>
        <v>32</v>
      </c>
      <c r="B36" s="238"/>
      <c r="C36" s="643">
        <v>0</v>
      </c>
      <c r="D36" s="644">
        <f t="shared" si="1"/>
        <v>0</v>
      </c>
      <c r="E36" s="643">
        <v>0</v>
      </c>
      <c r="F36" s="645">
        <f t="shared" si="2"/>
        <v>0</v>
      </c>
      <c r="G36" s="62"/>
      <c r="H36" s="227">
        <f t="shared" si="5"/>
        <v>68</v>
      </c>
      <c r="I36" s="238"/>
      <c r="J36" s="643">
        <v>0</v>
      </c>
      <c r="K36" s="644">
        <f t="shared" si="3"/>
        <v>0</v>
      </c>
      <c r="L36" s="643">
        <v>0</v>
      </c>
      <c r="M36" s="645">
        <f t="shared" si="4"/>
        <v>0</v>
      </c>
    </row>
    <row r="37" spans="1:13" x14ac:dyDescent="0.2">
      <c r="A37" s="227">
        <f t="shared" si="0"/>
        <v>33</v>
      </c>
      <c r="B37" s="238"/>
      <c r="C37" s="643">
        <v>0</v>
      </c>
      <c r="D37" s="644">
        <f t="shared" si="1"/>
        <v>0</v>
      </c>
      <c r="E37" s="643">
        <v>0</v>
      </c>
      <c r="F37" s="645">
        <f t="shared" si="2"/>
        <v>0</v>
      </c>
      <c r="G37" s="62"/>
      <c r="H37" s="227">
        <f t="shared" si="5"/>
        <v>69</v>
      </c>
      <c r="I37" s="238"/>
      <c r="J37" s="643">
        <v>0</v>
      </c>
      <c r="K37" s="644">
        <f t="shared" si="3"/>
        <v>0</v>
      </c>
      <c r="L37" s="643">
        <v>0</v>
      </c>
      <c r="M37" s="645">
        <f t="shared" si="4"/>
        <v>0</v>
      </c>
    </row>
    <row r="38" spans="1:13" x14ac:dyDescent="0.2">
      <c r="A38" s="227">
        <f t="shared" si="0"/>
        <v>34</v>
      </c>
      <c r="B38" s="238"/>
      <c r="C38" s="643">
        <v>0</v>
      </c>
      <c r="D38" s="644">
        <f t="shared" si="1"/>
        <v>0</v>
      </c>
      <c r="E38" s="643">
        <v>0</v>
      </c>
      <c r="F38" s="645">
        <f t="shared" si="2"/>
        <v>0</v>
      </c>
      <c r="G38" s="62"/>
      <c r="H38" s="227">
        <f t="shared" si="5"/>
        <v>70</v>
      </c>
      <c r="I38" s="238"/>
      <c r="J38" s="643">
        <v>0</v>
      </c>
      <c r="K38" s="644">
        <f t="shared" si="3"/>
        <v>0</v>
      </c>
      <c r="L38" s="643">
        <v>0</v>
      </c>
      <c r="M38" s="645">
        <f t="shared" si="4"/>
        <v>0</v>
      </c>
    </row>
    <row r="39" spans="1:13" x14ac:dyDescent="0.2">
      <c r="A39" s="227">
        <f t="shared" si="0"/>
        <v>35</v>
      </c>
      <c r="B39" s="238"/>
      <c r="C39" s="643">
        <v>0</v>
      </c>
      <c r="D39" s="644">
        <f t="shared" si="1"/>
        <v>0</v>
      </c>
      <c r="E39" s="643">
        <v>0</v>
      </c>
      <c r="F39" s="645">
        <f t="shared" si="2"/>
        <v>0</v>
      </c>
      <c r="G39" s="62"/>
      <c r="H39" s="227">
        <f t="shared" si="5"/>
        <v>71</v>
      </c>
      <c r="I39" s="238"/>
      <c r="J39" s="643">
        <v>0</v>
      </c>
      <c r="K39" s="644">
        <f t="shared" si="3"/>
        <v>0</v>
      </c>
      <c r="L39" s="643">
        <v>0</v>
      </c>
      <c r="M39" s="645">
        <f t="shared" si="4"/>
        <v>0</v>
      </c>
    </row>
    <row r="40" spans="1:13" x14ac:dyDescent="0.2">
      <c r="A40" s="227">
        <f t="shared" si="0"/>
        <v>36</v>
      </c>
      <c r="B40" s="238"/>
      <c r="C40" s="643">
        <v>0</v>
      </c>
      <c r="D40" s="644">
        <f t="shared" si="1"/>
        <v>0</v>
      </c>
      <c r="E40" s="643">
        <v>0</v>
      </c>
      <c r="F40" s="645">
        <f t="shared" si="2"/>
        <v>0</v>
      </c>
      <c r="G40" s="62"/>
      <c r="H40" s="227">
        <f t="shared" si="5"/>
        <v>72</v>
      </c>
      <c r="I40" s="238"/>
      <c r="J40" s="643">
        <v>0</v>
      </c>
      <c r="K40" s="644">
        <f t="shared" si="3"/>
        <v>0</v>
      </c>
      <c r="L40" s="643">
        <v>0</v>
      </c>
      <c r="M40" s="645">
        <f t="shared" si="4"/>
        <v>0</v>
      </c>
    </row>
    <row r="41" spans="1:13" ht="15.75" thickBot="1" x14ac:dyDescent="0.25">
      <c r="A41" s="227">
        <f t="shared" si="0"/>
        <v>37</v>
      </c>
      <c r="B41" s="238"/>
      <c r="C41" s="643">
        <v>0</v>
      </c>
      <c r="D41" s="644">
        <f t="shared" si="1"/>
        <v>0</v>
      </c>
      <c r="E41" s="643">
        <v>0</v>
      </c>
      <c r="F41" s="645">
        <f t="shared" si="2"/>
        <v>0</v>
      </c>
      <c r="G41" s="62"/>
      <c r="H41" s="227">
        <f t="shared" si="5"/>
        <v>73</v>
      </c>
      <c r="I41" s="238"/>
      <c r="J41" s="643">
        <v>0</v>
      </c>
      <c r="K41" s="644">
        <f t="shared" si="3"/>
        <v>0</v>
      </c>
      <c r="L41" s="643">
        <v>0</v>
      </c>
      <c r="M41" s="645">
        <f t="shared" si="4"/>
        <v>0</v>
      </c>
    </row>
    <row r="42" spans="1:13" ht="16.5" thickTop="1" thickBot="1" x14ac:dyDescent="0.25">
      <c r="A42" s="230" t="s">
        <v>6</v>
      </c>
      <c r="B42" s="235"/>
      <c r="C42" s="646">
        <f>SUM(C5:C41)</f>
        <v>0</v>
      </c>
      <c r="D42" s="646">
        <f>SUM(D5:D41)</f>
        <v>0</v>
      </c>
      <c r="E42" s="646">
        <f>SUM(E5:E41)</f>
        <v>0</v>
      </c>
      <c r="F42" s="647">
        <f>SUM(F5:F41)</f>
        <v>0</v>
      </c>
      <c r="G42" s="81"/>
      <c r="H42" s="230" t="s">
        <v>6</v>
      </c>
      <c r="I42" s="231">
        <f>J42-K42</f>
        <v>0</v>
      </c>
      <c r="J42" s="231">
        <f>SUM(J5:J41)</f>
        <v>0</v>
      </c>
      <c r="K42" s="231">
        <f>SUM(K5:K41)</f>
        <v>0</v>
      </c>
      <c r="L42" s="231">
        <f>SUM(L5:L41)</f>
        <v>0</v>
      </c>
      <c r="M42" s="232">
        <f>SUM(M5:M41)</f>
        <v>0</v>
      </c>
    </row>
    <row r="43" spans="1:13" ht="15.75" thickTop="1" x14ac:dyDescent="0.2"/>
  </sheetData>
  <mergeCells count="2">
    <mergeCell ref="A2:C2"/>
    <mergeCell ref="H2:J2"/>
  </mergeCells>
  <phoneticPr fontId="54" type="noConversion"/>
  <printOptions horizontalCentered="1"/>
  <pageMargins left="0.55118110236220474" right="0.55118110236220474" top="0.78740157480314965" bottom="0.78740157480314965" header="0.51181102362204722" footer="0.51181102362204722"/>
  <pageSetup paperSize="9" scale="70" orientation="landscape" r:id="rId1"/>
  <headerFooter alignWithMargins="0">
    <oddFooter>&amp;L&amp;8&amp;F Rev 1 of 310805&amp;C&amp;8&amp;A&amp;R&amp;8&amp;D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N58"/>
  <sheetViews>
    <sheetView topLeftCell="A4" workbookViewId="0">
      <selection activeCell="H17" sqref="H17"/>
    </sheetView>
  </sheetViews>
  <sheetFormatPr defaultRowHeight="15" x14ac:dyDescent="0.2"/>
  <cols>
    <col min="1" max="1" width="3.44140625" customWidth="1"/>
    <col min="2" max="2" width="8.77734375" customWidth="1"/>
    <col min="3" max="3" width="15.21875" customWidth="1"/>
    <col min="4" max="4" width="1.109375" customWidth="1"/>
    <col min="5" max="5" width="4.21875" customWidth="1"/>
    <col min="6" max="6" width="7.109375" customWidth="1"/>
    <col min="7" max="7" width="4.88671875" customWidth="1"/>
    <col min="8" max="8" width="11.109375" customWidth="1"/>
    <col min="9" max="9" width="1.5546875" customWidth="1"/>
    <col min="10" max="10" width="9.88671875" customWidth="1"/>
    <col min="11" max="11" width="2.44140625" customWidth="1"/>
    <col min="12" max="12" width="12.21875" customWidth="1"/>
    <col min="14" max="14" width="11" bestFit="1" customWidth="1"/>
  </cols>
  <sheetData>
    <row r="1" spans="1:12" ht="15.75" thickTop="1" x14ac:dyDescent="0.2">
      <c r="A1" s="832"/>
      <c r="B1" s="833"/>
      <c r="C1" s="833"/>
      <c r="D1" s="833"/>
      <c r="E1" s="833"/>
      <c r="F1" s="833"/>
      <c r="G1" s="833"/>
      <c r="H1" s="833"/>
      <c r="I1" s="833"/>
      <c r="J1" s="833"/>
      <c r="K1" s="833" t="s">
        <v>358</v>
      </c>
      <c r="L1" s="834"/>
    </row>
    <row r="2" spans="1:12" ht="15.75" x14ac:dyDescent="0.25">
      <c r="A2" s="835"/>
      <c r="B2" s="836"/>
      <c r="C2" s="836"/>
      <c r="D2" s="836"/>
      <c r="E2" s="836"/>
      <c r="F2" s="837" t="s">
        <v>359</v>
      </c>
      <c r="G2" s="836"/>
      <c r="H2" s="836"/>
      <c r="I2" s="836"/>
      <c r="J2" s="836"/>
      <c r="K2" s="836"/>
      <c r="L2" s="838"/>
    </row>
    <row r="3" spans="1:12" x14ac:dyDescent="0.2">
      <c r="A3" s="835"/>
      <c r="B3" s="836"/>
      <c r="C3" s="836"/>
      <c r="D3" s="836"/>
      <c r="E3" s="836"/>
      <c r="F3" s="836"/>
      <c r="G3" s="836"/>
      <c r="H3" s="836"/>
      <c r="I3" s="836"/>
      <c r="J3" s="836"/>
      <c r="K3" s="836"/>
      <c r="L3" s="839"/>
    </row>
    <row r="4" spans="1:12" x14ac:dyDescent="0.2">
      <c r="A4" s="835"/>
      <c r="B4" s="836"/>
      <c r="C4" s="836"/>
      <c r="D4" s="836"/>
      <c r="E4" s="836"/>
      <c r="F4" s="840" t="s">
        <v>360</v>
      </c>
      <c r="G4" s="1967">
        <f>'Input Data'!D29</f>
        <v>0</v>
      </c>
      <c r="H4" s="836"/>
      <c r="I4" s="836"/>
      <c r="J4" s="841" t="s">
        <v>4</v>
      </c>
      <c r="K4" s="836" t="s">
        <v>361</v>
      </c>
      <c r="L4" s="842">
        <f>'Input Data'!D28</f>
        <v>0</v>
      </c>
    </row>
    <row r="5" spans="1:12" x14ac:dyDescent="0.2">
      <c r="A5" s="835"/>
      <c r="B5" s="836"/>
      <c r="C5" s="836"/>
      <c r="D5" s="836"/>
      <c r="E5" s="836"/>
      <c r="F5" s="836"/>
      <c r="G5" s="836"/>
      <c r="H5" s="836"/>
      <c r="I5" s="836"/>
      <c r="J5" s="836"/>
      <c r="K5" s="836"/>
      <c r="L5" s="843"/>
    </row>
    <row r="6" spans="1:12" ht="15" customHeight="1" x14ac:dyDescent="0.2">
      <c r="A6" s="835"/>
      <c r="B6" s="844" t="s">
        <v>362</v>
      </c>
      <c r="C6" s="836"/>
      <c r="D6" s="844" t="s">
        <v>361</v>
      </c>
      <c r="E6" s="850">
        <f>'Input Data'!D12</f>
        <v>0</v>
      </c>
      <c r="F6" s="1446"/>
      <c r="G6" s="1446"/>
      <c r="H6" s="1446"/>
      <c r="I6" s="1446"/>
      <c r="J6" s="1446"/>
      <c r="K6" s="1446"/>
      <c r="L6" s="1447"/>
    </row>
    <row r="7" spans="1:12" x14ac:dyDescent="0.2">
      <c r="A7" s="835"/>
      <c r="B7" s="844"/>
      <c r="C7" s="836"/>
      <c r="D7" s="844"/>
      <c r="E7" s="1448"/>
      <c r="F7" s="1448"/>
      <c r="G7" s="1448"/>
      <c r="H7" s="1448"/>
      <c r="I7" s="1448"/>
      <c r="J7" s="1448"/>
      <c r="K7" s="1448"/>
      <c r="L7" s="1449"/>
    </row>
    <row r="8" spans="1:12" x14ac:dyDescent="0.2">
      <c r="A8" s="835"/>
      <c r="B8" s="844"/>
      <c r="C8" s="836"/>
      <c r="D8" s="844"/>
      <c r="E8" s="845"/>
      <c r="F8" s="846"/>
      <c r="G8" s="846"/>
      <c r="H8" s="846"/>
      <c r="I8" s="846"/>
      <c r="J8" s="846"/>
      <c r="K8" s="846"/>
      <c r="L8" s="847"/>
    </row>
    <row r="9" spans="1:12" x14ac:dyDescent="0.2">
      <c r="A9" s="835"/>
      <c r="B9" s="836"/>
      <c r="C9" s="836"/>
      <c r="D9" s="836"/>
      <c r="E9" s="848" t="s">
        <v>363</v>
      </c>
      <c r="F9" s="1966">
        <f>'Input Data'!D7</f>
        <v>0</v>
      </c>
      <c r="G9" s="849"/>
      <c r="H9" s="836"/>
      <c r="I9" s="849"/>
      <c r="J9" s="836"/>
      <c r="K9" s="849"/>
      <c r="L9" s="843"/>
    </row>
    <row r="10" spans="1:12" x14ac:dyDescent="0.2">
      <c r="A10" s="835"/>
      <c r="B10" s="836"/>
      <c r="C10" s="850"/>
      <c r="D10" s="836"/>
      <c r="E10" s="851"/>
      <c r="F10" s="852"/>
      <c r="G10" s="852"/>
      <c r="H10" s="852"/>
      <c r="I10" s="852"/>
      <c r="J10" s="852"/>
      <c r="K10" s="853"/>
      <c r="L10" s="854"/>
    </row>
    <row r="11" spans="1:12" x14ac:dyDescent="0.2">
      <c r="A11" s="835"/>
      <c r="B11" s="844" t="s">
        <v>364</v>
      </c>
      <c r="C11" s="836"/>
      <c r="D11" s="844" t="s">
        <v>361</v>
      </c>
      <c r="E11" s="850">
        <f>'Input Data'!D13</f>
        <v>0</v>
      </c>
      <c r="F11" s="1450"/>
      <c r="G11" s="1450"/>
      <c r="H11" s="1450"/>
      <c r="I11" s="1450"/>
      <c r="J11" s="1450"/>
      <c r="K11" s="1450"/>
      <c r="L11" s="1451"/>
    </row>
    <row r="12" spans="1:12" x14ac:dyDescent="0.2">
      <c r="A12" s="835"/>
      <c r="B12" s="844" t="s">
        <v>365</v>
      </c>
      <c r="C12" s="836"/>
      <c r="D12" s="836"/>
      <c r="E12" s="850">
        <f>'Input Data'!D14</f>
        <v>0</v>
      </c>
      <c r="F12" s="1534"/>
      <c r="G12" s="1534"/>
      <c r="H12" s="1534"/>
      <c r="I12" s="1534"/>
      <c r="J12" s="1534"/>
      <c r="K12" s="836" t="s">
        <v>366</v>
      </c>
      <c r="L12" s="1535">
        <f>'Input Data'!H14</f>
        <v>0</v>
      </c>
    </row>
    <row r="13" spans="1:12" x14ac:dyDescent="0.2">
      <c r="A13" s="835"/>
      <c r="B13" s="844" t="s">
        <v>367</v>
      </c>
      <c r="C13" s="836"/>
      <c r="D13" s="844" t="s">
        <v>361</v>
      </c>
      <c r="E13" s="850">
        <f>'Input Data'!D6</f>
        <v>0</v>
      </c>
      <c r="F13" s="853"/>
      <c r="G13" s="836"/>
      <c r="H13" s="840" t="s">
        <v>613</v>
      </c>
      <c r="I13" s="1533" t="s">
        <v>361</v>
      </c>
      <c r="J13" s="850">
        <f>'Input Data'!D30</f>
        <v>0</v>
      </c>
      <c r="K13" s="853"/>
      <c r="L13" s="839"/>
    </row>
    <row r="14" spans="1:12" x14ac:dyDescent="0.2">
      <c r="A14" s="835"/>
      <c r="B14" s="836"/>
      <c r="C14" s="836"/>
      <c r="D14" s="836"/>
      <c r="E14" s="836"/>
      <c r="F14" s="836"/>
      <c r="G14" s="836"/>
      <c r="H14" s="836"/>
      <c r="I14" s="836"/>
      <c r="J14" s="836"/>
      <c r="K14" s="836"/>
      <c r="L14" s="839"/>
    </row>
    <row r="15" spans="1:12" x14ac:dyDescent="0.2">
      <c r="A15" s="835"/>
      <c r="B15" s="844" t="s">
        <v>368</v>
      </c>
      <c r="C15" s="836"/>
      <c r="D15" s="844" t="s">
        <v>361</v>
      </c>
      <c r="E15" s="850">
        <f>'Input Data'!D18</f>
        <v>0</v>
      </c>
      <c r="F15" s="853"/>
      <c r="G15" s="836"/>
      <c r="H15" s="840" t="s">
        <v>369</v>
      </c>
      <c r="I15" s="1533" t="s">
        <v>361</v>
      </c>
      <c r="J15" s="850">
        <f>'Input Data'!D31</f>
        <v>0</v>
      </c>
      <c r="K15" s="852"/>
      <c r="L15" s="839"/>
    </row>
    <row r="16" spans="1:12" x14ac:dyDescent="0.2">
      <c r="A16" s="835"/>
      <c r="B16" s="844"/>
      <c r="C16" s="836"/>
      <c r="D16" s="844"/>
      <c r="E16" s="844"/>
      <c r="F16" s="836"/>
      <c r="G16" s="836"/>
      <c r="H16" s="844"/>
      <c r="I16" s="844"/>
      <c r="J16" s="844"/>
      <c r="K16" s="836"/>
      <c r="L16" s="856"/>
    </row>
    <row r="17" spans="1:12" ht="15.75" x14ac:dyDescent="0.25">
      <c r="A17" s="857"/>
      <c r="B17" s="844" t="s">
        <v>370</v>
      </c>
      <c r="C17" s="836"/>
      <c r="D17" s="836"/>
      <c r="E17" s="836"/>
      <c r="F17" s="836"/>
      <c r="G17" s="836"/>
      <c r="H17" s="836"/>
      <c r="I17" s="836"/>
      <c r="J17" s="836"/>
      <c r="K17" s="836"/>
      <c r="L17" s="858" t="s">
        <v>371</v>
      </c>
    </row>
    <row r="18" spans="1:12" x14ac:dyDescent="0.2">
      <c r="A18" s="1878" t="s">
        <v>372</v>
      </c>
      <c r="B18" s="836"/>
      <c r="C18" s="836"/>
      <c r="D18" s="836"/>
      <c r="E18" s="836"/>
      <c r="F18" s="859"/>
      <c r="G18" s="836"/>
      <c r="H18" s="836"/>
      <c r="I18" s="836"/>
      <c r="J18" s="836"/>
      <c r="K18" s="836"/>
      <c r="L18" s="860"/>
    </row>
    <row r="19" spans="1:12" x14ac:dyDescent="0.2">
      <c r="A19" s="1879"/>
      <c r="B19" s="844" t="s">
        <v>373</v>
      </c>
      <c r="C19" s="836"/>
      <c r="D19" s="844" t="s">
        <v>361</v>
      </c>
      <c r="E19" s="859" t="s">
        <v>374</v>
      </c>
      <c r="F19" s="859"/>
      <c r="G19" s="836"/>
      <c r="H19" s="836" t="s">
        <v>375</v>
      </c>
      <c r="I19" s="836"/>
      <c r="J19" s="836"/>
      <c r="K19" s="836"/>
      <c r="L19" s="861">
        <f>IF('Input Data'!E10="E",'Tax Invoice Engineering Project'!O53-'Tax Invoice Engineering Project'!B88,'Tax Invoice Multidiscpl Project'!O42-'Tax Invoice Multidiscpl Project'!B76)</f>
        <v>0</v>
      </c>
    </row>
    <row r="20" spans="1:12" x14ac:dyDescent="0.2">
      <c r="A20" s="1879"/>
      <c r="B20" s="836"/>
      <c r="C20" s="836"/>
      <c r="D20" s="836"/>
      <c r="E20" s="836"/>
      <c r="F20" s="836"/>
      <c r="G20" s="836"/>
      <c r="H20" s="862" t="s">
        <v>376</v>
      </c>
      <c r="I20" s="836"/>
      <c r="J20" s="862"/>
      <c r="K20" s="836"/>
      <c r="L20" s="863">
        <f>-'Input Data'!F11*'Input Data'!H11</f>
        <v>0</v>
      </c>
    </row>
    <row r="21" spans="1:12" x14ac:dyDescent="0.2">
      <c r="A21" s="1880"/>
      <c r="B21" s="836"/>
      <c r="C21" s="836"/>
      <c r="D21" s="836"/>
      <c r="E21" s="836"/>
      <c r="F21" s="836"/>
      <c r="G21" s="836"/>
      <c r="H21" s="1881" t="s">
        <v>377</v>
      </c>
      <c r="I21" s="836"/>
      <c r="J21" s="1881" t="s">
        <v>378</v>
      </c>
      <c r="K21" s="836"/>
      <c r="L21" s="864"/>
    </row>
    <row r="22" spans="1:12" x14ac:dyDescent="0.2">
      <c r="A22" s="865" t="s">
        <v>379</v>
      </c>
      <c r="B22" s="844" t="s">
        <v>380</v>
      </c>
      <c r="C22" s="836"/>
      <c r="D22" s="844" t="s">
        <v>361</v>
      </c>
      <c r="E22" s="859"/>
      <c r="F22" s="836"/>
      <c r="G22" s="836"/>
      <c r="H22" s="1882"/>
      <c r="I22" s="836"/>
      <c r="J22" s="1882"/>
      <c r="K22" s="836"/>
      <c r="L22" s="861"/>
    </row>
    <row r="23" spans="1:12" x14ac:dyDescent="0.2">
      <c r="A23" s="866"/>
      <c r="B23" s="844"/>
      <c r="C23" s="836" t="s">
        <v>381</v>
      </c>
      <c r="D23" s="836"/>
      <c r="E23" s="836"/>
      <c r="F23" s="836"/>
      <c r="G23" s="836"/>
      <c r="H23" s="868">
        <f>IF('Input Data'!E10="b",0,'Time Based'!I22)</f>
        <v>0</v>
      </c>
      <c r="I23" s="1512"/>
      <c r="J23" s="868">
        <f>IF('Input Data'!E10="b",0,H23-'Time Based'!I23)</f>
        <v>0</v>
      </c>
      <c r="K23" s="836"/>
      <c r="L23" s="869"/>
    </row>
    <row r="24" spans="1:12" x14ac:dyDescent="0.2">
      <c r="A24" s="866"/>
      <c r="B24" s="844"/>
      <c r="C24" s="836" t="s">
        <v>382</v>
      </c>
      <c r="D24" s="844"/>
      <c r="E24" s="836"/>
      <c r="F24" s="836"/>
      <c r="G24" s="836"/>
      <c r="H24" s="1511">
        <f>IF('Input Data'!H46&gt;0,0,'Time Based'!I37)</f>
        <v>0</v>
      </c>
      <c r="I24" s="1512"/>
      <c r="J24" s="1511">
        <f>IF('Input Data'!H46&gt;0,0,H24-'Time Based'!I38)</f>
        <v>0</v>
      </c>
      <c r="K24" s="836"/>
      <c r="L24" s="869"/>
    </row>
    <row r="25" spans="1:12" x14ac:dyDescent="0.2">
      <c r="A25" s="866"/>
      <c r="B25" s="836"/>
      <c r="C25" s="836" t="s">
        <v>383</v>
      </c>
      <c r="D25" s="844"/>
      <c r="E25" s="836"/>
      <c r="F25" s="836"/>
      <c r="G25" s="836"/>
      <c r="H25" s="1513">
        <f>'Time Based'!I52</f>
        <v>0</v>
      </c>
      <c r="I25" s="1512"/>
      <c r="J25" s="1513">
        <f>H25-'Time Based'!I53</f>
        <v>0</v>
      </c>
      <c r="K25" s="836"/>
      <c r="L25" s="864"/>
    </row>
    <row r="26" spans="1:12" x14ac:dyDescent="0.2">
      <c r="A26" s="866"/>
      <c r="B26" s="836"/>
      <c r="C26" s="836" t="s">
        <v>384</v>
      </c>
      <c r="D26" s="859"/>
      <c r="E26" s="836"/>
      <c r="F26" s="836"/>
      <c r="G26" s="836"/>
      <c r="H26" s="1513">
        <f>'Time Based'!I66</f>
        <v>0</v>
      </c>
      <c r="I26" s="1512"/>
      <c r="J26" s="1513">
        <f>H26-'Time Based'!I67</f>
        <v>0</v>
      </c>
      <c r="K26" s="836"/>
      <c r="L26" s="864"/>
    </row>
    <row r="27" spans="1:12" x14ac:dyDescent="0.2">
      <c r="A27" s="866"/>
      <c r="B27" s="613"/>
      <c r="C27" s="859"/>
      <c r="D27" s="613"/>
      <c r="E27" s="613"/>
      <c r="F27" s="613"/>
      <c r="G27" s="613"/>
      <c r="H27" s="1513"/>
      <c r="I27" s="1512"/>
      <c r="J27" s="1513"/>
      <c r="K27" s="836"/>
      <c r="L27" s="869"/>
    </row>
    <row r="28" spans="1:12" ht="15.75" thickBot="1" x14ac:dyDescent="0.25">
      <c r="A28" s="866"/>
      <c r="B28" s="844" t="s">
        <v>385</v>
      </c>
      <c r="C28" s="836" t="s">
        <v>386</v>
      </c>
      <c r="D28" s="836"/>
      <c r="E28" s="836"/>
      <c r="F28" s="836"/>
      <c r="G28" s="836"/>
      <c r="H28" s="1514">
        <v>0</v>
      </c>
      <c r="I28" s="1512"/>
      <c r="J28" s="1515">
        <f>H28</f>
        <v>0</v>
      </c>
      <c r="K28" s="836"/>
      <c r="L28" s="864"/>
    </row>
    <row r="29" spans="1:12" ht="15.75" thickBot="1" x14ac:dyDescent="0.25">
      <c r="A29" s="866"/>
      <c r="B29" s="836"/>
      <c r="C29" s="836"/>
      <c r="D29" s="844"/>
      <c r="E29" s="836"/>
      <c r="F29" s="836"/>
      <c r="G29" s="870" t="s">
        <v>387</v>
      </c>
      <c r="H29" s="1516">
        <f>SUM(H22:H28)</f>
        <v>0</v>
      </c>
      <c r="I29" s="1512"/>
      <c r="J29" s="1517">
        <f>SUM(J22:J28)</f>
        <v>0</v>
      </c>
      <c r="K29" s="836"/>
      <c r="L29" s="861">
        <f>J29</f>
        <v>0</v>
      </c>
    </row>
    <row r="30" spans="1:12" x14ac:dyDescent="0.2">
      <c r="A30" s="866"/>
      <c r="B30" s="836"/>
      <c r="C30" s="836"/>
      <c r="D30" s="836"/>
      <c r="E30" s="836"/>
      <c r="F30" s="836"/>
      <c r="G30" s="836"/>
      <c r="H30" s="1512"/>
      <c r="I30" s="1512"/>
      <c r="J30" s="1518"/>
      <c r="K30" s="836"/>
      <c r="L30" s="864"/>
    </row>
    <row r="31" spans="1:12" x14ac:dyDescent="0.2">
      <c r="A31" s="866"/>
      <c r="B31" s="836"/>
      <c r="C31" s="836"/>
      <c r="D31" s="836"/>
      <c r="E31" s="836"/>
      <c r="F31" s="836"/>
      <c r="G31" s="836"/>
      <c r="H31" s="1885" t="s">
        <v>388</v>
      </c>
      <c r="I31" s="1886"/>
      <c r="J31" s="1887"/>
      <c r="K31" s="836"/>
      <c r="L31" s="864"/>
    </row>
    <row r="32" spans="1:12" x14ac:dyDescent="0.2">
      <c r="A32" s="866"/>
      <c r="B32" s="844" t="s">
        <v>389</v>
      </c>
      <c r="C32" s="836"/>
      <c r="D32" s="836"/>
      <c r="E32" s="836"/>
      <c r="F32" s="836"/>
      <c r="G32" s="836"/>
      <c r="H32" s="1888" t="s">
        <v>377</v>
      </c>
      <c r="I32" s="1519"/>
      <c r="J32" s="1888" t="s">
        <v>378</v>
      </c>
      <c r="K32" s="836"/>
      <c r="L32" s="864"/>
    </row>
    <row r="33" spans="1:14" x14ac:dyDescent="0.2">
      <c r="A33" s="866"/>
      <c r="B33" s="836"/>
      <c r="C33" s="836"/>
      <c r="D33" s="836"/>
      <c r="E33" s="836"/>
      <c r="F33" s="836"/>
      <c r="G33" s="836"/>
      <c r="H33" s="1889"/>
      <c r="I33" s="1520"/>
      <c r="J33" s="1889"/>
      <c r="K33" s="836"/>
      <c r="L33" s="864"/>
    </row>
    <row r="34" spans="1:14" x14ac:dyDescent="0.2">
      <c r="A34" s="865" t="s">
        <v>390</v>
      </c>
      <c r="B34" s="844" t="s">
        <v>391</v>
      </c>
      <c r="C34" s="836"/>
      <c r="D34" s="844" t="s">
        <v>361</v>
      </c>
      <c r="E34" s="1534"/>
      <c r="F34" s="1531"/>
      <c r="G34" s="1532"/>
      <c r="H34" s="1511">
        <f>'Subsistance &amp; Travelling'!O86</f>
        <v>0</v>
      </c>
      <c r="I34" s="1521"/>
      <c r="J34" s="1511">
        <f>H34-'Subsistance &amp; Travelling'!O87</f>
        <v>0</v>
      </c>
      <c r="K34" s="836"/>
      <c r="L34" s="869"/>
    </row>
    <row r="35" spans="1:14" x14ac:dyDescent="0.2">
      <c r="A35" s="865"/>
      <c r="B35" s="844" t="s">
        <v>229</v>
      </c>
      <c r="C35" s="859"/>
      <c r="D35" s="872"/>
      <c r="E35" s="859"/>
      <c r="F35" s="1890"/>
      <c r="G35" s="1891"/>
      <c r="H35" s="1514"/>
      <c r="I35" s="1521"/>
      <c r="J35" s="1514"/>
      <c r="K35" s="836"/>
      <c r="L35" s="864"/>
    </row>
    <row r="36" spans="1:14" x14ac:dyDescent="0.2">
      <c r="A36" s="865" t="s">
        <v>392</v>
      </c>
      <c r="B36" s="844" t="s">
        <v>393</v>
      </c>
      <c r="C36" s="859"/>
      <c r="D36" s="872"/>
      <c r="E36" s="859"/>
      <c r="F36" s="1890"/>
      <c r="G36" s="1891"/>
      <c r="H36" s="1511">
        <f>'Typing, Duplicating, &amp; Printing'!J63</f>
        <v>0</v>
      </c>
      <c r="I36" s="1521"/>
      <c r="J36" s="1511">
        <f>H36-'Typing, Duplicating, &amp; Printing'!J64</f>
        <v>0</v>
      </c>
      <c r="K36" s="836"/>
      <c r="L36" s="864"/>
    </row>
    <row r="37" spans="1:14" ht="15.75" thickBot="1" x14ac:dyDescent="0.25">
      <c r="A37" s="865"/>
      <c r="B37" s="836"/>
      <c r="C37" s="859"/>
      <c r="D37" s="859"/>
      <c r="E37" s="859"/>
      <c r="F37" s="859"/>
      <c r="G37" s="859"/>
      <c r="H37" s="1514"/>
      <c r="I37" s="1521"/>
      <c r="J37" s="1514"/>
      <c r="K37" s="836"/>
      <c r="L37" s="864"/>
    </row>
    <row r="38" spans="1:14" ht="15.75" thickBot="1" x14ac:dyDescent="0.25">
      <c r="A38" s="866"/>
      <c r="B38" s="836"/>
      <c r="C38" s="1892" t="s">
        <v>394</v>
      </c>
      <c r="D38" s="1892"/>
      <c r="E38" s="1892"/>
      <c r="F38" s="1892"/>
      <c r="G38" s="1892"/>
      <c r="H38" s="1516">
        <f>SUM(H34:H37)</f>
        <v>0</v>
      </c>
      <c r="I38" s="1512"/>
      <c r="J38" s="1522">
        <f>SUM(J34:J37)</f>
        <v>0</v>
      </c>
      <c r="K38" s="836"/>
      <c r="L38" s="861">
        <f>J38</f>
        <v>0</v>
      </c>
    </row>
    <row r="39" spans="1:14" x14ac:dyDescent="0.2">
      <c r="A39" s="873"/>
      <c r="B39" s="836"/>
      <c r="C39" s="859"/>
      <c r="D39" s="859"/>
      <c r="E39" s="859"/>
      <c r="F39" s="859"/>
      <c r="G39" s="859"/>
      <c r="H39" s="1512"/>
      <c r="I39" s="1512"/>
      <c r="J39" s="1523"/>
      <c r="K39" s="836"/>
      <c r="L39" s="864"/>
    </row>
    <row r="40" spans="1:14" x14ac:dyDescent="0.2">
      <c r="A40" s="873"/>
      <c r="B40" s="844" t="s">
        <v>395</v>
      </c>
      <c r="C40" s="859"/>
      <c r="D40" s="859"/>
      <c r="E40" s="859"/>
      <c r="F40" s="859"/>
      <c r="G40" s="859"/>
      <c r="H40" s="1885" t="s">
        <v>396</v>
      </c>
      <c r="I40" s="1886"/>
      <c r="J40" s="1887"/>
      <c r="K40" s="836"/>
      <c r="L40" s="864"/>
    </row>
    <row r="41" spans="1:14" x14ac:dyDescent="0.2">
      <c r="A41" s="873"/>
      <c r="B41" s="836"/>
      <c r="C41" s="859"/>
      <c r="D41" s="859"/>
      <c r="E41" s="859"/>
      <c r="F41" s="859"/>
      <c r="G41" s="859"/>
      <c r="H41" s="1888" t="s">
        <v>377</v>
      </c>
      <c r="I41" s="1519"/>
      <c r="J41" s="1888" t="s">
        <v>378</v>
      </c>
      <c r="K41" s="836"/>
      <c r="L41" s="864"/>
    </row>
    <row r="42" spans="1:14" x14ac:dyDescent="0.2">
      <c r="A42" s="873"/>
      <c r="B42" s="836"/>
      <c r="C42" s="859"/>
      <c r="D42" s="859"/>
      <c r="E42" s="859"/>
      <c r="F42" s="859"/>
      <c r="G42" s="859"/>
      <c r="H42" s="1889"/>
      <c r="I42" s="1520"/>
      <c r="J42" s="1889"/>
      <c r="K42" s="836"/>
      <c r="L42" s="864"/>
    </row>
    <row r="43" spans="1:14" x14ac:dyDescent="0.2">
      <c r="A43" s="865" t="s">
        <v>397</v>
      </c>
      <c r="B43" s="844" t="s">
        <v>398</v>
      </c>
      <c r="C43" s="859"/>
      <c r="D43" s="872"/>
      <c r="E43" s="859"/>
      <c r="F43" s="1890"/>
      <c r="G43" s="1891"/>
      <c r="H43" s="868">
        <f>'Site staff &amp; Other'!I49</f>
        <v>0</v>
      </c>
      <c r="I43" s="1512"/>
      <c r="J43" s="868">
        <f>H43-'Site staff &amp; Other'!I50</f>
        <v>0</v>
      </c>
      <c r="K43" s="836"/>
      <c r="L43" s="864"/>
    </row>
    <row r="44" spans="1:14" x14ac:dyDescent="0.2">
      <c r="A44" s="865"/>
      <c r="B44" s="836"/>
      <c r="C44" s="859"/>
      <c r="D44" s="859"/>
      <c r="E44" s="859"/>
      <c r="F44" s="859"/>
      <c r="G44" s="875"/>
      <c r="H44" s="1514"/>
      <c r="I44" s="1512"/>
      <c r="J44" s="1514"/>
      <c r="K44" s="836"/>
      <c r="L44" s="864"/>
    </row>
    <row r="45" spans="1:14" x14ac:dyDescent="0.2">
      <c r="A45" s="865" t="s">
        <v>397</v>
      </c>
      <c r="B45" s="844" t="s">
        <v>399</v>
      </c>
      <c r="C45" s="859"/>
      <c r="D45" s="872"/>
      <c r="E45" s="859"/>
      <c r="F45" s="1531"/>
      <c r="G45" s="1532"/>
      <c r="H45" s="1511">
        <f>'Site staff &amp; Other'!I64</f>
        <v>0</v>
      </c>
      <c r="I45" s="1512"/>
      <c r="J45" s="1511">
        <f>H45-'Site staff &amp; Other'!I65</f>
        <v>0</v>
      </c>
      <c r="K45" s="836"/>
      <c r="L45" s="864"/>
    </row>
    <row r="46" spans="1:14" ht="15.75" thickBot="1" x14ac:dyDescent="0.25">
      <c r="A46" s="865"/>
      <c r="B46" s="836"/>
      <c r="C46" s="859"/>
      <c r="D46" s="859"/>
      <c r="E46" s="859"/>
      <c r="F46" s="859"/>
      <c r="G46" s="875"/>
      <c r="H46" s="1514"/>
      <c r="I46" s="1512"/>
      <c r="J46" s="1514"/>
      <c r="K46" s="836"/>
      <c r="L46" s="864"/>
    </row>
    <row r="47" spans="1:14" ht="15.75" thickBot="1" x14ac:dyDescent="0.25">
      <c r="A47" s="873"/>
      <c r="B47" s="1893" t="s">
        <v>400</v>
      </c>
      <c r="C47" s="1894"/>
      <c r="D47" s="1894"/>
      <c r="E47" s="1894"/>
      <c r="F47" s="1894"/>
      <c r="G47" s="1894"/>
      <c r="H47" s="1524">
        <f>SUM(H43:H46)</f>
        <v>0</v>
      </c>
      <c r="I47" s="1512"/>
      <c r="J47" s="1522">
        <f>SUM(J43:J46)</f>
        <v>0</v>
      </c>
      <c r="K47" s="836"/>
      <c r="L47" s="861">
        <f>J47</f>
        <v>0</v>
      </c>
      <c r="N47" s="292"/>
    </row>
    <row r="48" spans="1:14" x14ac:dyDescent="0.2">
      <c r="A48" s="873"/>
      <c r="B48" s="836"/>
      <c r="C48" s="836"/>
      <c r="D48" s="836"/>
      <c r="E48" s="836"/>
      <c r="F48" s="836"/>
      <c r="G48" s="836"/>
      <c r="H48" s="1512"/>
      <c r="I48" s="1512"/>
      <c r="J48" s="1512"/>
      <c r="K48" s="836"/>
      <c r="L48" s="864"/>
      <c r="N48" s="292"/>
    </row>
    <row r="49" spans="1:14" ht="15.75" thickBot="1" x14ac:dyDescent="0.25">
      <c r="A49" s="865" t="s">
        <v>401</v>
      </c>
      <c r="B49" s="877" t="s">
        <v>229</v>
      </c>
      <c r="C49" s="878"/>
      <c r="D49" s="878"/>
      <c r="E49" s="878"/>
      <c r="F49" s="291"/>
      <c r="G49" s="841" t="s">
        <v>402</v>
      </c>
      <c r="H49" s="1525">
        <f>'Non Taxable'!J19</f>
        <v>0</v>
      </c>
      <c r="I49" s="1512"/>
      <c r="J49" s="1526">
        <f>H49-'Non Taxable'!J20</f>
        <v>0</v>
      </c>
      <c r="K49" s="836"/>
      <c r="L49" s="879">
        <f>J49</f>
        <v>0</v>
      </c>
      <c r="N49" s="292"/>
    </row>
    <row r="50" spans="1:14" ht="15.75" thickBot="1" x14ac:dyDescent="0.25">
      <c r="A50" s="873"/>
      <c r="B50" s="878"/>
      <c r="C50" s="880"/>
      <c r="D50" s="840"/>
      <c r="E50" s="840"/>
      <c r="F50" s="291"/>
      <c r="G50" s="840" t="s">
        <v>403</v>
      </c>
      <c r="H50" s="1527">
        <f>SUM(H23:H28)+SUM(H34:H36)+SUM(H43:H45)+H49</f>
        <v>0</v>
      </c>
      <c r="I50" s="1512"/>
      <c r="J50" s="1527">
        <f>SUM(J23:J28)+SUM(J34:J36)+SUM(J43:J45)+J49</f>
        <v>0</v>
      </c>
      <c r="K50" s="836"/>
      <c r="L50" s="864"/>
      <c r="N50" s="292"/>
    </row>
    <row r="51" spans="1:14" x14ac:dyDescent="0.2">
      <c r="A51" s="873"/>
      <c r="B51" s="880"/>
      <c r="C51" s="880"/>
      <c r="D51" s="880"/>
      <c r="E51" s="836"/>
      <c r="F51" s="836"/>
      <c r="G51" s="836"/>
      <c r="H51" s="836"/>
      <c r="I51" s="836"/>
      <c r="J51" s="836"/>
      <c r="K51" s="836"/>
      <c r="L51" s="869"/>
      <c r="N51" s="292"/>
    </row>
    <row r="52" spans="1:14" x14ac:dyDescent="0.2">
      <c r="A52" s="873"/>
      <c r="B52" s="881"/>
      <c r="C52" s="881"/>
      <c r="D52" s="881"/>
      <c r="E52" s="882"/>
      <c r="F52" s="883"/>
      <c r="G52" s="883"/>
      <c r="H52" s="883"/>
      <c r="I52" s="883"/>
      <c r="J52" s="883"/>
      <c r="K52" s="883"/>
      <c r="L52" s="860"/>
      <c r="N52" s="1510"/>
    </row>
    <row r="53" spans="1:14" x14ac:dyDescent="0.2">
      <c r="A53" s="873"/>
      <c r="B53" s="859"/>
      <c r="C53" s="859"/>
      <c r="D53" s="859"/>
      <c r="E53" s="884" t="s">
        <v>404</v>
      </c>
      <c r="F53" s="836"/>
      <c r="G53" s="836"/>
      <c r="H53" s="836"/>
      <c r="I53" s="836"/>
      <c r="J53" s="836"/>
      <c r="K53" s="836"/>
      <c r="L53" s="885">
        <f>SUM(L18:L47)</f>
        <v>0</v>
      </c>
      <c r="N53" s="292"/>
    </row>
    <row r="54" spans="1:14" x14ac:dyDescent="0.2">
      <c r="A54" s="873"/>
      <c r="B54" s="859"/>
      <c r="C54" s="859"/>
      <c r="D54" s="859"/>
      <c r="E54" s="884" t="s">
        <v>405</v>
      </c>
      <c r="F54" s="886">
        <v>0.14000000000000001</v>
      </c>
      <c r="G54" s="836" t="s">
        <v>406</v>
      </c>
      <c r="H54" s="887">
        <f>L53</f>
        <v>0</v>
      </c>
      <c r="I54" s="836"/>
      <c r="J54" s="836"/>
      <c r="K54" s="836"/>
      <c r="L54" s="869">
        <f>F54*L53</f>
        <v>0</v>
      </c>
      <c r="N54" s="292"/>
    </row>
    <row r="55" spans="1:14" ht="15.75" thickBot="1" x14ac:dyDescent="0.25">
      <c r="A55" s="873"/>
      <c r="B55" s="859"/>
      <c r="C55" s="859"/>
      <c r="D55" s="859"/>
      <c r="E55" s="871" t="s">
        <v>407</v>
      </c>
      <c r="F55" s="836"/>
      <c r="G55" s="836"/>
      <c r="H55" s="836"/>
      <c r="I55" s="836"/>
      <c r="J55" s="836"/>
      <c r="K55" s="836"/>
      <c r="L55" s="888">
        <f>L49</f>
        <v>0</v>
      </c>
      <c r="N55" s="292"/>
    </row>
    <row r="56" spans="1:14" ht="15.75" thickBot="1" x14ac:dyDescent="0.25">
      <c r="A56" s="873"/>
      <c r="B56" s="889"/>
      <c r="C56" s="889"/>
      <c r="D56" s="889"/>
      <c r="E56" s="1883" t="s">
        <v>408</v>
      </c>
      <c r="F56" s="1884"/>
      <c r="G56" s="1884"/>
      <c r="H56" s="1884"/>
      <c r="I56" s="862"/>
      <c r="J56" s="862"/>
      <c r="K56" s="862"/>
      <c r="L56" s="890">
        <f>L53+L54+L55</f>
        <v>0</v>
      </c>
      <c r="N56" s="292"/>
    </row>
    <row r="57" spans="1:14" ht="15.75" thickBot="1" x14ac:dyDescent="0.25">
      <c r="A57" s="891"/>
      <c r="B57" s="892" t="s">
        <v>409</v>
      </c>
      <c r="C57" s="893"/>
      <c r="D57" s="893"/>
      <c r="E57" s="893"/>
      <c r="F57" s="893"/>
      <c r="G57" s="893"/>
      <c r="H57" s="893"/>
      <c r="I57" s="893"/>
      <c r="J57" s="893"/>
      <c r="K57" s="893"/>
      <c r="L57" s="894"/>
      <c r="N57" s="292"/>
    </row>
    <row r="58" spans="1:14" ht="15.75" thickTop="1" x14ac:dyDescent="0.2"/>
  </sheetData>
  <sheetProtection password="CD4C" sheet="1" objects="1" scenarios="1" formatCells="0" formatColumns="0" formatRows="0"/>
  <mergeCells count="15">
    <mergeCell ref="A18:A21"/>
    <mergeCell ref="H21:H22"/>
    <mergeCell ref="J21:J22"/>
    <mergeCell ref="E56:H56"/>
    <mergeCell ref="H31:J31"/>
    <mergeCell ref="H32:H33"/>
    <mergeCell ref="J32:J33"/>
    <mergeCell ref="F35:G35"/>
    <mergeCell ref="F36:G36"/>
    <mergeCell ref="C38:G38"/>
    <mergeCell ref="H40:J40"/>
    <mergeCell ref="H41:H42"/>
    <mergeCell ref="J41:J42"/>
    <mergeCell ref="F43:G43"/>
    <mergeCell ref="B47:G47"/>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43"/>
  </sheetPr>
  <dimension ref="A1:K72"/>
  <sheetViews>
    <sheetView zoomScale="75" zoomScaleNormal="75" zoomScaleSheetLayoutView="75" workbookViewId="0">
      <selection activeCell="B5" sqref="B5"/>
    </sheetView>
  </sheetViews>
  <sheetFormatPr defaultRowHeight="15" x14ac:dyDescent="0.2"/>
  <cols>
    <col min="1" max="1" width="5.5546875" customWidth="1"/>
    <col min="2" max="2" width="8.6640625" customWidth="1"/>
    <col min="3" max="3" width="11.6640625" customWidth="1"/>
    <col min="4" max="4" width="15.33203125" customWidth="1"/>
    <col min="5" max="5" width="7.88671875" customWidth="1"/>
    <col min="6" max="6" width="28.109375" customWidth="1"/>
    <col min="7" max="7" width="9.21875" customWidth="1"/>
    <col min="8" max="8" width="7.6640625" customWidth="1"/>
    <col min="9" max="9" width="12.109375" customWidth="1"/>
    <col min="11" max="11" width="16.5546875" bestFit="1" customWidth="1"/>
  </cols>
  <sheetData>
    <row r="1" spans="1:9" ht="18.75" thickTop="1" x14ac:dyDescent="0.2">
      <c r="A1" s="1206" t="s">
        <v>31</v>
      </c>
      <c r="B1" s="1207"/>
      <c r="C1" s="1208"/>
      <c r="D1" s="1208"/>
      <c r="E1" s="1208"/>
      <c r="F1" s="1208"/>
      <c r="G1" s="1208"/>
      <c r="H1" s="1208"/>
      <c r="I1" s="1354"/>
    </row>
    <row r="2" spans="1:9" ht="15.75" x14ac:dyDescent="0.2">
      <c r="A2" s="1186" t="s">
        <v>161</v>
      </c>
      <c r="B2" s="822"/>
      <c r="C2" s="185"/>
      <c r="D2" s="185"/>
      <c r="E2" s="613"/>
      <c r="F2" s="613"/>
      <c r="G2" s="613"/>
      <c r="H2" s="185"/>
      <c r="I2" s="1355" t="s">
        <v>162</v>
      </c>
    </row>
    <row r="3" spans="1:9" x14ac:dyDescent="0.2">
      <c r="A3" s="186"/>
      <c r="B3" s="187" t="s">
        <v>542</v>
      </c>
      <c r="C3" s="1389">
        <f>'Input Data'!D29</f>
        <v>0</v>
      </c>
      <c r="D3" s="1445" t="s">
        <v>611</v>
      </c>
      <c r="E3" s="1968">
        <f>'Input Data'!D8</f>
        <v>0</v>
      </c>
      <c r="G3" s="187" t="s">
        <v>610</v>
      </c>
      <c r="H3" s="824">
        <f>'Input Data'!D7</f>
        <v>0</v>
      </c>
      <c r="I3" s="1356"/>
    </row>
    <row r="4" spans="1:9" x14ac:dyDescent="0.2">
      <c r="A4" s="1357" t="s">
        <v>32</v>
      </c>
      <c r="B4" s="189"/>
      <c r="C4" s="188" t="s">
        <v>4</v>
      </c>
      <c r="D4" s="185" t="s">
        <v>33</v>
      </c>
      <c r="E4" s="189" t="s">
        <v>32</v>
      </c>
      <c r="F4" s="188" t="s">
        <v>4</v>
      </c>
      <c r="G4" s="185" t="s">
        <v>33</v>
      </c>
      <c r="H4" s="185"/>
      <c r="I4" s="1356"/>
    </row>
    <row r="5" spans="1:9" x14ac:dyDescent="0.2">
      <c r="A5" s="190" t="s">
        <v>34</v>
      </c>
      <c r="B5" s="187"/>
      <c r="C5" s="191"/>
      <c r="D5" s="191"/>
      <c r="E5" s="187" t="s">
        <v>35</v>
      </c>
      <c r="F5" s="191"/>
      <c r="G5" s="1895"/>
      <c r="H5" s="1896"/>
      <c r="I5" s="1897"/>
    </row>
    <row r="6" spans="1:9" x14ac:dyDescent="0.2">
      <c r="A6" s="190" t="s">
        <v>36</v>
      </c>
      <c r="B6" s="187"/>
      <c r="C6" s="191"/>
      <c r="D6" s="191"/>
      <c r="E6" s="187" t="s">
        <v>37</v>
      </c>
      <c r="F6" s="192"/>
      <c r="G6" s="1895"/>
      <c r="H6" s="1896"/>
      <c r="I6" s="1897"/>
    </row>
    <row r="7" spans="1:9" x14ac:dyDescent="0.2">
      <c r="A7" s="190" t="s">
        <v>38</v>
      </c>
      <c r="B7" s="187"/>
      <c r="C7" s="192"/>
      <c r="D7" s="191"/>
      <c r="E7" s="187" t="s">
        <v>39</v>
      </c>
      <c r="F7" s="192"/>
      <c r="G7" s="1895"/>
      <c r="H7" s="1896"/>
      <c r="I7" s="1897"/>
    </row>
    <row r="8" spans="1:9" ht="15.75" thickBot="1" x14ac:dyDescent="0.25">
      <c r="A8" s="193"/>
      <c r="B8" s="194"/>
      <c r="C8" s="194"/>
      <c r="D8" s="194"/>
      <c r="E8" s="194"/>
      <c r="F8" s="194"/>
      <c r="G8" s="194"/>
      <c r="H8" s="194"/>
      <c r="I8" s="195"/>
    </row>
    <row r="9" spans="1:9" ht="16.5" thickTop="1" thickBot="1" x14ac:dyDescent="0.25">
      <c r="A9" s="1358"/>
      <c r="B9" s="1359"/>
      <c r="C9" s="1359"/>
      <c r="D9" s="1359"/>
      <c r="E9" s="1359"/>
      <c r="F9" s="1359"/>
      <c r="G9" s="1359"/>
      <c r="H9" s="1359"/>
      <c r="I9" s="1360"/>
    </row>
    <row r="10" spans="1:9" ht="15.75" thickTop="1" x14ac:dyDescent="0.2">
      <c r="A10" s="1361" t="s">
        <v>621</v>
      </c>
      <c r="B10" s="1183"/>
      <c r="C10" s="1362"/>
      <c r="D10" s="1362"/>
      <c r="E10" s="1362"/>
      <c r="F10" s="1362"/>
      <c r="G10" s="1362"/>
      <c r="H10" s="1363"/>
      <c r="I10" s="1364"/>
    </row>
    <row r="11" spans="1:9" ht="30" x14ac:dyDescent="0.2">
      <c r="A11" s="1180" t="s">
        <v>541</v>
      </c>
      <c r="B11" s="674" t="s">
        <v>4</v>
      </c>
      <c r="C11" s="653" t="s">
        <v>40</v>
      </c>
      <c r="D11" s="654" t="s">
        <v>25</v>
      </c>
      <c r="E11" s="654" t="s">
        <v>41</v>
      </c>
      <c r="F11" s="655" t="s">
        <v>42</v>
      </c>
      <c r="G11" s="654" t="s">
        <v>9</v>
      </c>
      <c r="H11" s="654" t="s">
        <v>325</v>
      </c>
      <c r="I11" s="657" t="s">
        <v>43</v>
      </c>
    </row>
    <row r="12" spans="1:9" x14ac:dyDescent="0.2">
      <c r="A12" s="1365"/>
      <c r="B12" s="1366"/>
      <c r="C12" s="1367"/>
      <c r="D12" s="1368"/>
      <c r="E12" s="1368"/>
      <c r="F12" s="1368"/>
      <c r="G12" s="1368"/>
      <c r="H12" s="1369"/>
      <c r="I12" s="1228">
        <f t="shared" ref="I12:I21" si="0">G12*H12</f>
        <v>0</v>
      </c>
    </row>
    <row r="13" spans="1:9" x14ac:dyDescent="0.2">
      <c r="A13" s="200"/>
      <c r="B13" s="1177"/>
      <c r="C13" s="201"/>
      <c r="D13" s="202"/>
      <c r="E13" s="202"/>
      <c r="F13" s="202"/>
      <c r="G13" s="202"/>
      <c r="H13" s="659"/>
      <c r="I13" s="1231">
        <f t="shared" si="0"/>
        <v>0</v>
      </c>
    </row>
    <row r="14" spans="1:9" x14ac:dyDescent="0.2">
      <c r="A14" s="203"/>
      <c r="B14" s="1178"/>
      <c r="C14" s="201"/>
      <c r="D14" s="202"/>
      <c r="E14" s="202"/>
      <c r="F14" s="202"/>
      <c r="G14" s="202"/>
      <c r="H14" s="659"/>
      <c r="I14" s="1231">
        <f t="shared" si="0"/>
        <v>0</v>
      </c>
    </row>
    <row r="15" spans="1:9" x14ac:dyDescent="0.2">
      <c r="A15" s="203"/>
      <c r="B15" s="1178"/>
      <c r="C15" s="201"/>
      <c r="D15" s="202"/>
      <c r="E15" s="202"/>
      <c r="F15" s="202"/>
      <c r="G15" s="202"/>
      <c r="H15" s="659"/>
      <c r="I15" s="1231">
        <f t="shared" si="0"/>
        <v>0</v>
      </c>
    </row>
    <row r="16" spans="1:9" x14ac:dyDescent="0.2">
      <c r="A16" s="203"/>
      <c r="B16" s="1178"/>
      <c r="C16" s="201"/>
      <c r="D16" s="202"/>
      <c r="E16" s="202"/>
      <c r="F16" s="202"/>
      <c r="G16" s="202"/>
      <c r="H16" s="659"/>
      <c r="I16" s="1231">
        <f t="shared" si="0"/>
        <v>0</v>
      </c>
    </row>
    <row r="17" spans="1:9" x14ac:dyDescent="0.2">
      <c r="A17" s="203"/>
      <c r="B17" s="1178"/>
      <c r="C17" s="201"/>
      <c r="D17" s="202"/>
      <c r="E17" s="202"/>
      <c r="F17" s="202"/>
      <c r="G17" s="202"/>
      <c r="H17" s="659"/>
      <c r="I17" s="1231">
        <f t="shared" si="0"/>
        <v>0</v>
      </c>
    </row>
    <row r="18" spans="1:9" x14ac:dyDescent="0.2">
      <c r="A18" s="203"/>
      <c r="B18" s="1178"/>
      <c r="C18" s="201"/>
      <c r="D18" s="202"/>
      <c r="E18" s="202"/>
      <c r="F18" s="202"/>
      <c r="G18" s="202"/>
      <c r="H18" s="659"/>
      <c r="I18" s="1231">
        <f t="shared" si="0"/>
        <v>0</v>
      </c>
    </row>
    <row r="19" spans="1:9" x14ac:dyDescent="0.2">
      <c r="A19" s="203"/>
      <c r="B19" s="1178"/>
      <c r="C19" s="201"/>
      <c r="D19" s="202"/>
      <c r="E19" s="202"/>
      <c r="F19" s="202"/>
      <c r="G19" s="202"/>
      <c r="H19" s="659"/>
      <c r="I19" s="1231">
        <f t="shared" si="0"/>
        <v>0</v>
      </c>
    </row>
    <row r="20" spans="1:9" x14ac:dyDescent="0.2">
      <c r="A20" s="203"/>
      <c r="B20" s="1178"/>
      <c r="C20" s="201"/>
      <c r="D20" s="202"/>
      <c r="E20" s="202"/>
      <c r="F20" s="202"/>
      <c r="G20" s="202"/>
      <c r="H20" s="659"/>
      <c r="I20" s="1231">
        <f t="shared" si="0"/>
        <v>0</v>
      </c>
    </row>
    <row r="21" spans="1:9" ht="17.25" customHeight="1" thickBot="1" x14ac:dyDescent="0.25">
      <c r="A21" s="207"/>
      <c r="B21" s="1179"/>
      <c r="C21" s="208"/>
      <c r="D21" s="209"/>
      <c r="E21" s="209"/>
      <c r="F21" s="209"/>
      <c r="G21" s="209"/>
      <c r="H21" s="662"/>
      <c r="I21" s="1234">
        <f t="shared" si="0"/>
        <v>0</v>
      </c>
    </row>
    <row r="22" spans="1:9" x14ac:dyDescent="0.2">
      <c r="A22" s="205"/>
      <c r="B22" s="206"/>
      <c r="C22" s="206"/>
      <c r="D22" s="206"/>
      <c r="E22" s="206"/>
      <c r="F22" s="206"/>
      <c r="G22" s="206"/>
      <c r="H22" s="660" t="s">
        <v>591</v>
      </c>
      <c r="I22" s="1323">
        <f>SUM(I12:I21)</f>
        <v>0</v>
      </c>
    </row>
    <row r="23" spans="1:9" ht="15.75" thickBot="1" x14ac:dyDescent="0.25">
      <c r="A23" s="1370"/>
      <c r="B23" s="210"/>
      <c r="C23" s="210"/>
      <c r="D23" s="210"/>
      <c r="E23" s="210"/>
      <c r="F23" s="210"/>
      <c r="G23" s="210"/>
      <c r="H23" s="1371" t="s">
        <v>544</v>
      </c>
      <c r="I23" s="1385"/>
    </row>
    <row r="24" spans="1:9" ht="16.5" thickTop="1" thickBot="1" x14ac:dyDescent="0.25">
      <c r="A24" s="1372"/>
      <c r="B24" s="613"/>
      <c r="C24" s="613"/>
      <c r="D24" s="613"/>
      <c r="E24" s="613"/>
      <c r="F24" s="613"/>
      <c r="G24" s="613"/>
      <c r="H24" s="613"/>
      <c r="I24" s="614"/>
    </row>
    <row r="25" spans="1:9" ht="15.75" thickTop="1" x14ac:dyDescent="0.2">
      <c r="A25" s="1373" t="s">
        <v>598</v>
      </c>
      <c r="B25" s="1183"/>
      <c r="C25" s="1362"/>
      <c r="D25" s="1362"/>
      <c r="E25" s="1362"/>
      <c r="F25" s="1362"/>
      <c r="G25" s="1362"/>
      <c r="H25" s="1362"/>
      <c r="I25" s="1374"/>
    </row>
    <row r="26" spans="1:9" ht="30" x14ac:dyDescent="0.2">
      <c r="A26" s="1180" t="s">
        <v>541</v>
      </c>
      <c r="B26" s="674" t="s">
        <v>4</v>
      </c>
      <c r="C26" s="653" t="s">
        <v>40</v>
      </c>
      <c r="D26" s="654" t="s">
        <v>25</v>
      </c>
      <c r="E26" s="654" t="s">
        <v>41</v>
      </c>
      <c r="F26" s="655" t="s">
        <v>42</v>
      </c>
      <c r="G26" s="654" t="s">
        <v>9</v>
      </c>
      <c r="H26" s="654" t="s">
        <v>325</v>
      </c>
      <c r="I26" s="656" t="s">
        <v>43</v>
      </c>
    </row>
    <row r="27" spans="1:9" x14ac:dyDescent="0.2">
      <c r="A27" s="197"/>
      <c r="B27" s="1176"/>
      <c r="C27" s="198"/>
      <c r="D27" s="199"/>
      <c r="E27" s="199"/>
      <c r="F27" s="199"/>
      <c r="G27" s="199"/>
      <c r="H27" s="658"/>
      <c r="I27" s="1228">
        <f t="shared" ref="I27:I36" si="1">G27*H27</f>
        <v>0</v>
      </c>
    </row>
    <row r="28" spans="1:9" x14ac:dyDescent="0.2">
      <c r="A28" s="200"/>
      <c r="B28" s="1177"/>
      <c r="C28" s="201"/>
      <c r="D28" s="202"/>
      <c r="E28" s="202"/>
      <c r="F28" s="202"/>
      <c r="G28" s="202"/>
      <c r="H28" s="659"/>
      <c r="I28" s="1231">
        <f t="shared" si="1"/>
        <v>0</v>
      </c>
    </row>
    <row r="29" spans="1:9" x14ac:dyDescent="0.2">
      <c r="A29" s="203"/>
      <c r="B29" s="1178"/>
      <c r="C29" s="201"/>
      <c r="D29" s="202"/>
      <c r="E29" s="202"/>
      <c r="F29" s="202"/>
      <c r="G29" s="202"/>
      <c r="H29" s="659"/>
      <c r="I29" s="1231">
        <f t="shared" si="1"/>
        <v>0</v>
      </c>
    </row>
    <row r="30" spans="1:9" x14ac:dyDescent="0.2">
      <c r="A30" s="203"/>
      <c r="B30" s="1178"/>
      <c r="C30" s="201"/>
      <c r="D30" s="202"/>
      <c r="E30" s="202"/>
      <c r="F30" s="202"/>
      <c r="G30" s="202"/>
      <c r="H30" s="659"/>
      <c r="I30" s="1231">
        <f t="shared" si="1"/>
        <v>0</v>
      </c>
    </row>
    <row r="31" spans="1:9" x14ac:dyDescent="0.2">
      <c r="A31" s="203"/>
      <c r="B31" s="1178"/>
      <c r="C31" s="201"/>
      <c r="D31" s="202"/>
      <c r="E31" s="202"/>
      <c r="F31" s="202"/>
      <c r="G31" s="202"/>
      <c r="H31" s="659"/>
      <c r="I31" s="1231">
        <f t="shared" si="1"/>
        <v>0</v>
      </c>
    </row>
    <row r="32" spans="1:9" x14ac:dyDescent="0.2">
      <c r="A32" s="203"/>
      <c r="B32" s="1178"/>
      <c r="C32" s="201"/>
      <c r="D32" s="202"/>
      <c r="E32" s="202"/>
      <c r="F32" s="202"/>
      <c r="G32" s="202"/>
      <c r="H32" s="659"/>
      <c r="I32" s="1231">
        <f t="shared" si="1"/>
        <v>0</v>
      </c>
    </row>
    <row r="33" spans="1:9" x14ac:dyDescent="0.2">
      <c r="A33" s="203"/>
      <c r="B33" s="1178"/>
      <c r="C33" s="201"/>
      <c r="D33" s="202"/>
      <c r="E33" s="202"/>
      <c r="F33" s="202"/>
      <c r="G33" s="202"/>
      <c r="H33" s="659"/>
      <c r="I33" s="1231">
        <f t="shared" si="1"/>
        <v>0</v>
      </c>
    </row>
    <row r="34" spans="1:9" x14ac:dyDescent="0.2">
      <c r="A34" s="203"/>
      <c r="B34" s="1178"/>
      <c r="C34" s="201"/>
      <c r="D34" s="202"/>
      <c r="E34" s="202"/>
      <c r="F34" s="202"/>
      <c r="G34" s="202"/>
      <c r="H34" s="659"/>
      <c r="I34" s="1231">
        <f t="shared" si="1"/>
        <v>0</v>
      </c>
    </row>
    <row r="35" spans="1:9" x14ac:dyDescent="0.2">
      <c r="A35" s="203"/>
      <c r="B35" s="1178"/>
      <c r="C35" s="201"/>
      <c r="D35" s="202"/>
      <c r="E35" s="202"/>
      <c r="F35" s="202"/>
      <c r="G35" s="202"/>
      <c r="H35" s="1375"/>
      <c r="I35" s="1231">
        <f t="shared" si="1"/>
        <v>0</v>
      </c>
    </row>
    <row r="36" spans="1:9" ht="15.75" thickBot="1" x14ac:dyDescent="0.25">
      <c r="A36" s="207"/>
      <c r="B36" s="1179"/>
      <c r="C36" s="208"/>
      <c r="D36" s="209"/>
      <c r="E36" s="209"/>
      <c r="F36" s="209"/>
      <c r="G36" s="209"/>
      <c r="H36" s="1376"/>
      <c r="I36" s="1234">
        <f t="shared" si="1"/>
        <v>0</v>
      </c>
    </row>
    <row r="37" spans="1:9" x14ac:dyDescent="0.2">
      <c r="A37" s="205"/>
      <c r="B37" s="206"/>
      <c r="C37" s="206"/>
      <c r="D37" s="206"/>
      <c r="E37" s="206"/>
      <c r="F37" s="206"/>
      <c r="G37" s="206"/>
      <c r="H37" s="660" t="s">
        <v>592</v>
      </c>
      <c r="I37" s="1323">
        <f>SUM(I27:I36)</f>
        <v>0</v>
      </c>
    </row>
    <row r="38" spans="1:9" ht="15.75" thickBot="1" x14ac:dyDescent="0.25">
      <c r="A38" s="193"/>
      <c r="B38" s="194"/>
      <c r="C38" s="194"/>
      <c r="D38" s="194"/>
      <c r="E38" s="194"/>
      <c r="F38" s="194"/>
      <c r="G38" s="194"/>
      <c r="H38" s="1193" t="s">
        <v>544</v>
      </c>
      <c r="I38" s="1386"/>
    </row>
    <row r="39" spans="1:9" ht="16.5" thickTop="1" thickBot="1" x14ac:dyDescent="0.25">
      <c r="A39" s="1377"/>
      <c r="B39" s="1378"/>
      <c r="C39" s="1378"/>
      <c r="D39" s="1378"/>
      <c r="E39" s="1378"/>
      <c r="F39" s="1378"/>
      <c r="G39" s="1378"/>
      <c r="H39" s="1379"/>
      <c r="I39" s="1387"/>
    </row>
    <row r="40" spans="1:9" ht="15.75" thickTop="1" x14ac:dyDescent="0.2">
      <c r="A40" s="1373" t="s">
        <v>599</v>
      </c>
      <c r="B40" s="1183"/>
      <c r="C40" s="1362"/>
      <c r="D40" s="1362"/>
      <c r="E40" s="1362"/>
      <c r="F40" s="1362"/>
      <c r="G40" s="1362"/>
      <c r="H40" s="1363"/>
      <c r="I40" s="1364"/>
    </row>
    <row r="41" spans="1:9" ht="30" x14ac:dyDescent="0.2">
      <c r="A41" s="1180" t="s">
        <v>541</v>
      </c>
      <c r="B41" s="674" t="s">
        <v>4</v>
      </c>
      <c r="C41" s="653" t="s">
        <v>40</v>
      </c>
      <c r="D41" s="654" t="s">
        <v>25</v>
      </c>
      <c r="E41" s="654" t="s">
        <v>41</v>
      </c>
      <c r="F41" s="655" t="s">
        <v>42</v>
      </c>
      <c r="G41" s="654" t="s">
        <v>9</v>
      </c>
      <c r="H41" s="654" t="s">
        <v>325</v>
      </c>
      <c r="I41" s="657" t="s">
        <v>43</v>
      </c>
    </row>
    <row r="42" spans="1:9" x14ac:dyDescent="0.2">
      <c r="A42" s="197"/>
      <c r="B42" s="1176"/>
      <c r="C42" s="198"/>
      <c r="D42" s="199"/>
      <c r="E42" s="199"/>
      <c r="F42" s="199"/>
      <c r="G42" s="199"/>
      <c r="H42" s="658"/>
      <c r="I42" s="1228">
        <f t="shared" ref="I42:I51" si="2">G42*H42</f>
        <v>0</v>
      </c>
    </row>
    <row r="43" spans="1:9" x14ac:dyDescent="0.2">
      <c r="A43" s="200"/>
      <c r="B43" s="1177"/>
      <c r="C43" s="201"/>
      <c r="D43" s="202"/>
      <c r="E43" s="202"/>
      <c r="F43" s="202"/>
      <c r="G43" s="202"/>
      <c r="H43" s="659"/>
      <c r="I43" s="1231">
        <f t="shared" si="2"/>
        <v>0</v>
      </c>
    </row>
    <row r="44" spans="1:9" x14ac:dyDescent="0.2">
      <c r="A44" s="203"/>
      <c r="B44" s="1178"/>
      <c r="C44" s="201"/>
      <c r="D44" s="202"/>
      <c r="E44" s="202"/>
      <c r="F44" s="202"/>
      <c r="G44" s="202"/>
      <c r="H44" s="659"/>
      <c r="I44" s="1231">
        <f t="shared" si="2"/>
        <v>0</v>
      </c>
    </row>
    <row r="45" spans="1:9" x14ac:dyDescent="0.2">
      <c r="A45" s="203"/>
      <c r="B45" s="1178"/>
      <c r="C45" s="201"/>
      <c r="D45" s="202"/>
      <c r="E45" s="202"/>
      <c r="F45" s="202"/>
      <c r="G45" s="202"/>
      <c r="H45" s="659"/>
      <c r="I45" s="1231">
        <f t="shared" si="2"/>
        <v>0</v>
      </c>
    </row>
    <row r="46" spans="1:9" x14ac:dyDescent="0.2">
      <c r="A46" s="203"/>
      <c r="B46" s="1178"/>
      <c r="C46" s="201"/>
      <c r="D46" s="202"/>
      <c r="E46" s="202"/>
      <c r="F46" s="202"/>
      <c r="G46" s="202"/>
      <c r="H46" s="659"/>
      <c r="I46" s="1231">
        <f t="shared" si="2"/>
        <v>0</v>
      </c>
    </row>
    <row r="47" spans="1:9" x14ac:dyDescent="0.2">
      <c r="A47" s="203"/>
      <c r="B47" s="1178"/>
      <c r="C47" s="201"/>
      <c r="D47" s="202"/>
      <c r="E47" s="202"/>
      <c r="F47" s="202"/>
      <c r="G47" s="202"/>
      <c r="H47" s="659"/>
      <c r="I47" s="1231">
        <f t="shared" si="2"/>
        <v>0</v>
      </c>
    </row>
    <row r="48" spans="1:9" x14ac:dyDescent="0.2">
      <c r="A48" s="203"/>
      <c r="B48" s="1178"/>
      <c r="C48" s="201"/>
      <c r="D48" s="202"/>
      <c r="E48" s="202"/>
      <c r="F48" s="202"/>
      <c r="G48" s="202"/>
      <c r="H48" s="659"/>
      <c r="I48" s="1231">
        <f t="shared" si="2"/>
        <v>0</v>
      </c>
    </row>
    <row r="49" spans="1:9" x14ac:dyDescent="0.2">
      <c r="A49" s="203"/>
      <c r="B49" s="1178"/>
      <c r="C49" s="201"/>
      <c r="D49" s="202"/>
      <c r="E49" s="202"/>
      <c r="F49" s="202"/>
      <c r="G49" s="202"/>
      <c r="H49" s="659"/>
      <c r="I49" s="1231">
        <f t="shared" si="2"/>
        <v>0</v>
      </c>
    </row>
    <row r="50" spans="1:9" x14ac:dyDescent="0.2">
      <c r="A50" s="203"/>
      <c r="B50" s="1178"/>
      <c r="C50" s="201"/>
      <c r="D50" s="202"/>
      <c r="E50" s="202"/>
      <c r="F50" s="202"/>
      <c r="G50" s="202"/>
      <c r="H50" s="659"/>
      <c r="I50" s="1231">
        <f t="shared" si="2"/>
        <v>0</v>
      </c>
    </row>
    <row r="51" spans="1:9" ht="15.75" thickBot="1" x14ac:dyDescent="0.25">
      <c r="A51" s="207"/>
      <c r="B51" s="1179"/>
      <c r="C51" s="208"/>
      <c r="D51" s="209"/>
      <c r="E51" s="209"/>
      <c r="F51" s="209"/>
      <c r="G51" s="209"/>
      <c r="H51" s="662"/>
      <c r="I51" s="1234">
        <f t="shared" si="2"/>
        <v>0</v>
      </c>
    </row>
    <row r="52" spans="1:9" x14ac:dyDescent="0.2">
      <c r="A52" s="205"/>
      <c r="B52" s="206"/>
      <c r="C52" s="206"/>
      <c r="D52" s="206"/>
      <c r="E52" s="206"/>
      <c r="F52" s="206"/>
      <c r="G52" s="206"/>
      <c r="H52" s="660" t="s">
        <v>593</v>
      </c>
      <c r="I52" s="1323">
        <f>SUM(I42:I51)</f>
        <v>0</v>
      </c>
    </row>
    <row r="53" spans="1:9" x14ac:dyDescent="0.2">
      <c r="A53" s="1380"/>
      <c r="B53" s="1381"/>
      <c r="C53" s="1381"/>
      <c r="D53" s="1381"/>
      <c r="E53" s="1381"/>
      <c r="F53" s="1381"/>
      <c r="G53" s="1381"/>
      <c r="H53" s="1193" t="s">
        <v>544</v>
      </c>
      <c r="I53" s="1388"/>
    </row>
    <row r="54" spans="1:9" x14ac:dyDescent="0.2">
      <c r="A54" s="1382" t="s">
        <v>594</v>
      </c>
      <c r="B54" s="1189"/>
      <c r="C54" s="196"/>
      <c r="D54" s="196"/>
      <c r="E54" s="196"/>
      <c r="F54" s="196"/>
      <c r="G54" s="196"/>
      <c r="H54" s="661"/>
      <c r="I54" s="1383"/>
    </row>
    <row r="55" spans="1:9" ht="30" x14ac:dyDescent="0.2">
      <c r="A55" s="1180" t="s">
        <v>541</v>
      </c>
      <c r="B55" s="674" t="s">
        <v>4</v>
      </c>
      <c r="C55" s="653" t="s">
        <v>40</v>
      </c>
      <c r="D55" s="654" t="s">
        <v>25</v>
      </c>
      <c r="E55" s="654" t="s">
        <v>41</v>
      </c>
      <c r="F55" s="655" t="s">
        <v>42</v>
      </c>
      <c r="G55" s="654" t="s">
        <v>9</v>
      </c>
      <c r="H55" s="654" t="s">
        <v>325</v>
      </c>
      <c r="I55" s="657" t="s">
        <v>43</v>
      </c>
    </row>
    <row r="56" spans="1:9" x14ac:dyDescent="0.2">
      <c r="A56" s="197"/>
      <c r="B56" s="1176"/>
      <c r="C56" s="198"/>
      <c r="D56" s="199"/>
      <c r="E56" s="199"/>
      <c r="F56" s="199"/>
      <c r="G56" s="199"/>
      <c r="H56" s="658"/>
      <c r="I56" s="1228">
        <f t="shared" ref="I56:I65" si="3">G56*H56</f>
        <v>0</v>
      </c>
    </row>
    <row r="57" spans="1:9" x14ac:dyDescent="0.2">
      <c r="A57" s="200"/>
      <c r="B57" s="1177"/>
      <c r="C57" s="201"/>
      <c r="D57" s="202"/>
      <c r="E57" s="202"/>
      <c r="F57" s="202"/>
      <c r="G57" s="202"/>
      <c r="H57" s="659"/>
      <c r="I57" s="1231">
        <f t="shared" si="3"/>
        <v>0</v>
      </c>
    </row>
    <row r="58" spans="1:9" x14ac:dyDescent="0.2">
      <c r="A58" s="203"/>
      <c r="B58" s="1178"/>
      <c r="C58" s="201"/>
      <c r="D58" s="202"/>
      <c r="E58" s="202"/>
      <c r="F58" s="202"/>
      <c r="G58" s="202"/>
      <c r="H58" s="659"/>
      <c r="I58" s="1231">
        <f t="shared" si="3"/>
        <v>0</v>
      </c>
    </row>
    <row r="59" spans="1:9" x14ac:dyDescent="0.2">
      <c r="A59" s="203"/>
      <c r="B59" s="1178"/>
      <c r="C59" s="201"/>
      <c r="D59" s="202"/>
      <c r="E59" s="202"/>
      <c r="F59" s="202"/>
      <c r="G59" s="202"/>
      <c r="H59" s="659"/>
      <c r="I59" s="1231">
        <f t="shared" si="3"/>
        <v>0</v>
      </c>
    </row>
    <row r="60" spans="1:9" x14ac:dyDescent="0.2">
      <c r="A60" s="203"/>
      <c r="B60" s="1178"/>
      <c r="C60" s="201"/>
      <c r="D60" s="202"/>
      <c r="E60" s="202"/>
      <c r="F60" s="202"/>
      <c r="G60" s="202"/>
      <c r="H60" s="659"/>
      <c r="I60" s="1231">
        <f t="shared" si="3"/>
        <v>0</v>
      </c>
    </row>
    <row r="61" spans="1:9" x14ac:dyDescent="0.2">
      <c r="A61" s="203"/>
      <c r="B61" s="1178"/>
      <c r="C61" s="201"/>
      <c r="D61" s="202"/>
      <c r="E61" s="202"/>
      <c r="F61" s="202"/>
      <c r="G61" s="202"/>
      <c r="H61" s="659"/>
      <c r="I61" s="1231">
        <f t="shared" si="3"/>
        <v>0</v>
      </c>
    </row>
    <row r="62" spans="1:9" x14ac:dyDescent="0.2">
      <c r="A62" s="203"/>
      <c r="B62" s="1178"/>
      <c r="C62" s="201"/>
      <c r="D62" s="202"/>
      <c r="E62" s="202"/>
      <c r="F62" s="202"/>
      <c r="G62" s="202"/>
      <c r="H62" s="659"/>
      <c r="I62" s="1231">
        <f t="shared" si="3"/>
        <v>0</v>
      </c>
    </row>
    <row r="63" spans="1:9" x14ac:dyDescent="0.2">
      <c r="A63" s="203"/>
      <c r="B63" s="1178"/>
      <c r="C63" s="201"/>
      <c r="D63" s="202"/>
      <c r="E63" s="202"/>
      <c r="F63" s="202"/>
      <c r="G63" s="202"/>
      <c r="H63" s="659"/>
      <c r="I63" s="1231">
        <f t="shared" si="3"/>
        <v>0</v>
      </c>
    </row>
    <row r="64" spans="1:9" x14ac:dyDescent="0.2">
      <c r="A64" s="203"/>
      <c r="B64" s="1178"/>
      <c r="C64" s="201"/>
      <c r="D64" s="202"/>
      <c r="E64" s="202"/>
      <c r="F64" s="202"/>
      <c r="G64" s="202"/>
      <c r="H64" s="659"/>
      <c r="I64" s="1231">
        <f t="shared" si="3"/>
        <v>0</v>
      </c>
    </row>
    <row r="65" spans="1:11" ht="15.75" thickBot="1" x14ac:dyDescent="0.25">
      <c r="A65" s="207"/>
      <c r="B65" s="1179"/>
      <c r="C65" s="208"/>
      <c r="D65" s="209"/>
      <c r="E65" s="209"/>
      <c r="F65" s="209"/>
      <c r="G65" s="209"/>
      <c r="H65" s="662"/>
      <c r="I65" s="1234">
        <f t="shared" si="3"/>
        <v>0</v>
      </c>
    </row>
    <row r="66" spans="1:11" x14ac:dyDescent="0.2">
      <c r="A66" s="205"/>
      <c r="B66" s="206"/>
      <c r="C66" s="206"/>
      <c r="D66" s="206"/>
      <c r="E66" s="206"/>
      <c r="F66" s="206"/>
      <c r="G66" s="206"/>
      <c r="H66" s="204" t="s">
        <v>595</v>
      </c>
      <c r="I66" s="1323">
        <f>SUM(I56:I65)</f>
        <v>0</v>
      </c>
    </row>
    <row r="67" spans="1:11" ht="15.75" thickBot="1" x14ac:dyDescent="0.25">
      <c r="A67" s="190"/>
      <c r="B67" s="187"/>
      <c r="C67" s="187"/>
      <c r="D67" s="187"/>
      <c r="E67" s="187"/>
      <c r="F67" s="187"/>
      <c r="G67" s="187"/>
      <c r="H67" s="165" t="s">
        <v>544</v>
      </c>
      <c r="I67" s="1388"/>
      <c r="K67" s="1455"/>
    </row>
    <row r="68" spans="1:11" ht="15.75" thickBot="1" x14ac:dyDescent="0.25">
      <c r="A68" s="1474" t="s">
        <v>540</v>
      </c>
      <c r="B68" s="1472"/>
      <c r="C68" s="1469"/>
      <c r="D68" s="1469"/>
      <c r="E68" s="1469"/>
      <c r="F68" s="1469"/>
      <c r="G68" s="1470"/>
      <c r="H68" s="1471" t="s">
        <v>620</v>
      </c>
      <c r="I68" s="1384">
        <f>IF('Input Data'!$E$10="E",'Time Based'!I22+'Time Based'!I52+'Time Based'!I66,0)</f>
        <v>0</v>
      </c>
    </row>
    <row r="69" spans="1:11" ht="15.75" thickBot="1" x14ac:dyDescent="0.25">
      <c r="A69" s="966"/>
      <c r="B69" s="893"/>
      <c r="C69" s="1216"/>
      <c r="D69" s="1216"/>
      <c r="E69" s="1216"/>
      <c r="F69" s="1216"/>
      <c r="G69" s="1216"/>
      <c r="H69" s="172" t="s">
        <v>597</v>
      </c>
      <c r="I69" s="1384">
        <f>IF('Input Data'!$E$10="E",'Time Based'!I23+'Time Based'!I53+'Time Based'!I67,0)</f>
        <v>0</v>
      </c>
    </row>
    <row r="70" spans="1:11" ht="16.5" thickTop="1" thickBot="1" x14ac:dyDescent="0.25">
      <c r="A70" s="1473" t="s">
        <v>618</v>
      </c>
      <c r="B70" s="833"/>
      <c r="C70" s="1210"/>
      <c r="D70" s="1210"/>
      <c r="E70" s="1210"/>
      <c r="F70" s="1210"/>
      <c r="G70" s="1210"/>
      <c r="H70" s="1466" t="s">
        <v>596</v>
      </c>
      <c r="I70" s="1467">
        <f>IF('Input Data'!$E$10="b",IF('Tax Invoice Multidiscpl Project'!$O$42&gt;0,(I52+I66),(I37+I52+I66)),0)</f>
        <v>0</v>
      </c>
    </row>
    <row r="71" spans="1:11" ht="15.75" thickBot="1" x14ac:dyDescent="0.25">
      <c r="A71" s="1348"/>
      <c r="B71" s="1216"/>
      <c r="C71" s="1216"/>
      <c r="D71" s="1216"/>
      <c r="E71" s="1216"/>
      <c r="F71" s="1216"/>
      <c r="G71" s="1216"/>
      <c r="H71" s="1236" t="s">
        <v>597</v>
      </c>
      <c r="I71" s="1468">
        <f>IF('Input Data'!$E$10="b",IF('Tax Invoice Multidiscpl Project'!$O$42&gt;0,(I53+I67),(I38+I53+I67)),0)</f>
        <v>0</v>
      </c>
    </row>
    <row r="72" spans="1:11" ht="15.75" thickTop="1" x14ac:dyDescent="0.2"/>
  </sheetData>
  <mergeCells count="3">
    <mergeCell ref="G7:I7"/>
    <mergeCell ref="G5:I5"/>
    <mergeCell ref="G6:I6"/>
  </mergeCells>
  <phoneticPr fontId="54" type="noConversion"/>
  <printOptions horizontalCentered="1"/>
  <pageMargins left="0.55118110236220474" right="0.55118110236220474" top="0.78740157480314965" bottom="0.78740157480314965" header="0.51181102362204722" footer="0.51181102362204722"/>
  <pageSetup paperSize="9" scale="62" orientation="portrait" r:id="rId1"/>
  <headerFooter alignWithMargins="0">
    <oddFooter>&amp;L&amp;8&amp;F Rev 1 of 310805&amp;C&amp;8&amp;A&amp;R&amp;8&amp;D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Notes</vt:lpstr>
      <vt:lpstr>Input Data</vt:lpstr>
      <vt:lpstr>Worked Example</vt:lpstr>
      <vt:lpstr>Tax Invoice Engineering Project</vt:lpstr>
      <vt:lpstr>Tax Invoice Multidiscpl Project</vt:lpstr>
      <vt:lpstr>Scales</vt:lpstr>
      <vt:lpstr>Previous Claims</vt:lpstr>
      <vt:lpstr>Summary A3</vt:lpstr>
      <vt:lpstr>Time Based</vt:lpstr>
      <vt:lpstr>Trip Sheet</vt:lpstr>
      <vt:lpstr>Subsistance &amp; Travelling</vt:lpstr>
      <vt:lpstr>Typing, Duplicating, &amp; Printing</vt:lpstr>
      <vt:lpstr>Site staff &amp; Other</vt:lpstr>
      <vt:lpstr>Non Taxable</vt:lpstr>
      <vt:lpstr>'Input Data'!Print_Area</vt:lpstr>
      <vt:lpstr>Notes!Print_Area</vt:lpstr>
      <vt:lpstr>'Site staff &amp; Other'!Print_Area</vt:lpstr>
      <vt:lpstr>'Subsistance &amp; Travelling'!Print_Area</vt:lpstr>
      <vt:lpstr>'Tax Invoice Engineering Project'!Print_Area</vt:lpstr>
      <vt:lpstr>'Tax Invoice Multidiscpl Project'!Print_Area</vt:lpstr>
      <vt:lpstr>'Time Based'!Print_Area</vt:lpstr>
      <vt:lpstr>'Typing, Duplicating, &amp; Printing'!Print_Area</vt:lpstr>
      <vt:lpstr>'Worked Example'!Print_Area</vt:lpstr>
      <vt:lpstr>'Tax Invoice Engineering Project'!Print_Titles</vt:lpstr>
      <vt:lpstr>'Tax Invoice Multidiscpl Project'!Print_Titles</vt:lpstr>
      <vt:lpstr>SCALE_2012EB</vt:lpstr>
      <vt:lpstr>SCALE_2012EE</vt:lpstr>
    </vt:vector>
  </TitlesOfParts>
  <Company>PWD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Beaurain</dc:creator>
  <cp:lastModifiedBy>Charles Beaurain</cp:lastModifiedBy>
  <cp:lastPrinted>2011-05-17T13:13:14Z</cp:lastPrinted>
  <dcterms:created xsi:type="dcterms:W3CDTF">2000-04-06T11:32:49Z</dcterms:created>
  <dcterms:modified xsi:type="dcterms:W3CDTF">2012-11-19T06:34:33Z</dcterms:modified>
</cp:coreProperties>
</file>